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ZNoemí.Lupita\Cuenta Publica\2017\Cuenta Publica 2017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490" windowHeight="7665" tabRatio="976" activeTab="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5" l="1"/>
  <c r="D58" i="5"/>
  <c r="D49" i="5"/>
  <c r="D48" i="5"/>
  <c r="C72" i="4" l="1"/>
  <c r="C137" i="6" l="1"/>
  <c r="D137" i="6"/>
  <c r="E137" i="6"/>
  <c r="S129" i="24" s="1"/>
  <c r="F137" i="6"/>
  <c r="B137" i="6"/>
  <c r="C62" i="6"/>
  <c r="D62" i="6"/>
  <c r="R55" i="24" s="1"/>
  <c r="E62" i="6"/>
  <c r="F62" i="6"/>
  <c r="B62" i="6"/>
  <c r="B8" i="10"/>
  <c r="C6" i="23"/>
  <c r="C7" i="23" s="1"/>
  <c r="H25" i="23"/>
  <c r="G25" i="23"/>
  <c r="F25" i="23"/>
  <c r="E25" i="23"/>
  <c r="D25" i="23"/>
  <c r="G30" i="9"/>
  <c r="U22" i="27" s="1"/>
  <c r="G31" i="9"/>
  <c r="U23" i="27" s="1"/>
  <c r="G29" i="9"/>
  <c r="G26" i="9"/>
  <c r="G27" i="9"/>
  <c r="G25" i="9"/>
  <c r="G24" i="9" s="1"/>
  <c r="U16" i="27" s="1"/>
  <c r="G23" i="9"/>
  <c r="G22" i="9"/>
  <c r="G19" i="9"/>
  <c r="U12" i="27" s="1"/>
  <c r="G18" i="9"/>
  <c r="G16" i="9" s="1"/>
  <c r="U9" i="27" s="1"/>
  <c r="G17" i="9"/>
  <c r="G14" i="9"/>
  <c r="G15" i="9"/>
  <c r="U8" i="27" s="1"/>
  <c r="G13" i="9"/>
  <c r="G12" i="9" s="1"/>
  <c r="U5" i="27" s="1"/>
  <c r="G11" i="9"/>
  <c r="G10" i="9"/>
  <c r="G73" i="8"/>
  <c r="G74" i="8"/>
  <c r="U66" i="26" s="1"/>
  <c r="G75" i="8"/>
  <c r="G72" i="8"/>
  <c r="G63" i="8"/>
  <c r="U55" i="26" s="1"/>
  <c r="G64" i="8"/>
  <c r="G65" i="8"/>
  <c r="G66" i="8"/>
  <c r="G67" i="8"/>
  <c r="U59" i="26" s="1"/>
  <c r="G68" i="8"/>
  <c r="G69" i="8"/>
  <c r="G70" i="8"/>
  <c r="G62" i="8"/>
  <c r="G61" i="8" s="1"/>
  <c r="U53" i="26" s="1"/>
  <c r="G55" i="8"/>
  <c r="G56" i="8"/>
  <c r="G57" i="8"/>
  <c r="G58" i="8"/>
  <c r="U50" i="26" s="1"/>
  <c r="G59" i="8"/>
  <c r="G60" i="8"/>
  <c r="G54" i="8"/>
  <c r="G46" i="8"/>
  <c r="U38" i="26" s="1"/>
  <c r="G47" i="8"/>
  <c r="G48" i="8"/>
  <c r="G49" i="8"/>
  <c r="G50" i="8"/>
  <c r="U42" i="26" s="1"/>
  <c r="G51" i="8"/>
  <c r="G52" i="8"/>
  <c r="G45" i="8"/>
  <c r="G39" i="8"/>
  <c r="G37" i="8" s="1"/>
  <c r="U30" i="26" s="1"/>
  <c r="G40" i="8"/>
  <c r="G41" i="8"/>
  <c r="G38" i="8"/>
  <c r="G11" i="8"/>
  <c r="G10" i="8" s="1"/>
  <c r="G12" i="8"/>
  <c r="U5" i="26" s="1"/>
  <c r="G13" i="8"/>
  <c r="G14" i="8"/>
  <c r="G15" i="8"/>
  <c r="G16" i="8"/>
  <c r="U9" i="26" s="1"/>
  <c r="G17" i="8"/>
  <c r="G18" i="8"/>
  <c r="G20" i="8"/>
  <c r="G19" i="8" s="1"/>
  <c r="U12" i="26" s="1"/>
  <c r="G21" i="8"/>
  <c r="G22" i="8"/>
  <c r="G23" i="8"/>
  <c r="G24" i="8"/>
  <c r="U17" i="26" s="1"/>
  <c r="G25" i="8"/>
  <c r="G26" i="8"/>
  <c r="G28" i="8"/>
  <c r="G29" i="8"/>
  <c r="G30" i="8"/>
  <c r="G31" i="8"/>
  <c r="G32" i="8"/>
  <c r="G33" i="8"/>
  <c r="G34" i="8"/>
  <c r="G35" i="8"/>
  <c r="G36" i="8"/>
  <c r="G21" i="7"/>
  <c r="G22" i="7"/>
  <c r="G23" i="7"/>
  <c r="G19" i="7" s="1"/>
  <c r="U3" i="25" s="1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P21" i="24" s="1"/>
  <c r="B38" i="6"/>
  <c r="B48" i="6"/>
  <c r="B58" i="6"/>
  <c r="B71" i="6"/>
  <c r="B75" i="6"/>
  <c r="G152" i="6"/>
  <c r="G153" i="6"/>
  <c r="G150" i="6" s="1"/>
  <c r="U142" i="24" s="1"/>
  <c r="G154" i="6"/>
  <c r="G155" i="6"/>
  <c r="G156" i="6"/>
  <c r="G157" i="6"/>
  <c r="U149" i="24" s="1"/>
  <c r="G151" i="6"/>
  <c r="G148" i="6"/>
  <c r="G149" i="6"/>
  <c r="G147" i="6"/>
  <c r="G139" i="6"/>
  <c r="U131" i="24" s="1"/>
  <c r="G140" i="6"/>
  <c r="G141" i="6"/>
  <c r="G142" i="6"/>
  <c r="G143" i="6"/>
  <c r="U135" i="24" s="1"/>
  <c r="G144" i="6"/>
  <c r="G145" i="6"/>
  <c r="G138" i="6"/>
  <c r="G135" i="6"/>
  <c r="G133" i="6" s="1"/>
  <c r="U125" i="24" s="1"/>
  <c r="G136" i="6"/>
  <c r="G134" i="6"/>
  <c r="G125" i="6"/>
  <c r="G126" i="6"/>
  <c r="G123" i="6" s="1"/>
  <c r="U115" i="24" s="1"/>
  <c r="G127" i="6"/>
  <c r="G128" i="6"/>
  <c r="G129" i="6"/>
  <c r="G130" i="6"/>
  <c r="U122" i="24" s="1"/>
  <c r="G131" i="6"/>
  <c r="G132" i="6"/>
  <c r="G124" i="6"/>
  <c r="G115" i="6"/>
  <c r="U107" i="24" s="1"/>
  <c r="G116" i="6"/>
  <c r="G117" i="6"/>
  <c r="G118" i="6"/>
  <c r="G119" i="6"/>
  <c r="U111" i="24" s="1"/>
  <c r="G120" i="6"/>
  <c r="G121" i="6"/>
  <c r="G122" i="6"/>
  <c r="G114" i="6"/>
  <c r="G105" i="6"/>
  <c r="G106" i="6"/>
  <c r="G107" i="6"/>
  <c r="G108" i="6"/>
  <c r="U100" i="24" s="1"/>
  <c r="G109" i="6"/>
  <c r="G110" i="6"/>
  <c r="G111" i="6"/>
  <c r="G112" i="6"/>
  <c r="U104" i="24" s="1"/>
  <c r="G104" i="6"/>
  <c r="G95" i="6"/>
  <c r="G96" i="6"/>
  <c r="G97" i="6"/>
  <c r="G93" i="6" s="1"/>
  <c r="U85" i="24" s="1"/>
  <c r="G98" i="6"/>
  <c r="G99" i="6"/>
  <c r="G100" i="6"/>
  <c r="G101" i="6"/>
  <c r="U93" i="24" s="1"/>
  <c r="G102" i="6"/>
  <c r="G94" i="6"/>
  <c r="G87" i="6"/>
  <c r="G88" i="6"/>
  <c r="U80" i="24" s="1"/>
  <c r="G89" i="6"/>
  <c r="G90" i="6"/>
  <c r="G91" i="6"/>
  <c r="G92" i="6"/>
  <c r="U84" i="24" s="1"/>
  <c r="G86" i="6"/>
  <c r="G77" i="6"/>
  <c r="G78" i="6"/>
  <c r="G79" i="6"/>
  <c r="G80" i="6"/>
  <c r="G81" i="6"/>
  <c r="G82" i="6"/>
  <c r="G76" i="6"/>
  <c r="G75" i="6" s="1"/>
  <c r="U68" i="24" s="1"/>
  <c r="G73" i="6"/>
  <c r="U66" i="24" s="1"/>
  <c r="G74" i="6"/>
  <c r="G72" i="6"/>
  <c r="G71" i="6" s="1"/>
  <c r="U64" i="24" s="1"/>
  <c r="G64" i="6"/>
  <c r="U57" i="24" s="1"/>
  <c r="G65" i="6"/>
  <c r="G66" i="6"/>
  <c r="G67" i="6"/>
  <c r="G68" i="6"/>
  <c r="U61" i="24" s="1"/>
  <c r="G69" i="6"/>
  <c r="G70" i="6"/>
  <c r="G63" i="6"/>
  <c r="G60" i="6"/>
  <c r="G58" i="6" s="1"/>
  <c r="U51" i="24" s="1"/>
  <c r="G61" i="6"/>
  <c r="G59" i="6"/>
  <c r="G50" i="6"/>
  <c r="G51" i="6"/>
  <c r="G52" i="6"/>
  <c r="U45" i="24" s="1"/>
  <c r="G53" i="6"/>
  <c r="G54" i="6"/>
  <c r="G55" i="6"/>
  <c r="G56" i="6"/>
  <c r="U49" i="24" s="1"/>
  <c r="G57" i="6"/>
  <c r="G49" i="6"/>
  <c r="G40" i="6"/>
  <c r="U33" i="24" s="1"/>
  <c r="G41" i="6"/>
  <c r="G42" i="6"/>
  <c r="G43" i="6"/>
  <c r="G44" i="6"/>
  <c r="U37" i="24" s="1"/>
  <c r="G45" i="6"/>
  <c r="G46" i="6"/>
  <c r="G47" i="6"/>
  <c r="G39" i="6"/>
  <c r="U32" i="24" s="1"/>
  <c r="G30" i="6"/>
  <c r="G31" i="6"/>
  <c r="G32" i="6"/>
  <c r="G33" i="6"/>
  <c r="U26" i="24" s="1"/>
  <c r="G34" i="6"/>
  <c r="G35" i="6"/>
  <c r="G36" i="6"/>
  <c r="G37" i="6"/>
  <c r="U30" i="24" s="1"/>
  <c r="G29" i="6"/>
  <c r="G20" i="6"/>
  <c r="G21" i="6"/>
  <c r="U14" i="24" s="1"/>
  <c r="G22" i="6"/>
  <c r="G23" i="6"/>
  <c r="G24" i="6"/>
  <c r="G25" i="6"/>
  <c r="U18" i="24" s="1"/>
  <c r="G26" i="6"/>
  <c r="G27" i="6"/>
  <c r="G19" i="6"/>
  <c r="G11" i="6"/>
  <c r="U4" i="24" s="1"/>
  <c r="B7" i="13"/>
  <c r="G12" i="6"/>
  <c r="G13" i="6"/>
  <c r="G14" i="6"/>
  <c r="U7" i="24" s="1"/>
  <c r="G15" i="6"/>
  <c r="G16" i="6"/>
  <c r="G17" i="6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29" i="5"/>
  <c r="G30" i="5"/>
  <c r="G31" i="5"/>
  <c r="G28" i="5" s="1"/>
  <c r="U22" i="20" s="1"/>
  <c r="G32" i="5"/>
  <c r="G33" i="5"/>
  <c r="G34" i="5"/>
  <c r="G36" i="5"/>
  <c r="G35" i="5" s="1"/>
  <c r="U29" i="20" s="1"/>
  <c r="G38" i="5"/>
  <c r="G39" i="5"/>
  <c r="F20" i="23"/>
  <c r="B6" i="2" s="1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 s="1"/>
  <c r="C7" i="13"/>
  <c r="C29" i="13" s="1"/>
  <c r="Q22" i="31" s="1"/>
  <c r="D7" i="13"/>
  <c r="D29" i="13"/>
  <c r="R22" i="31" s="1"/>
  <c r="E7" i="13"/>
  <c r="E29" i="13" s="1"/>
  <c r="S22" i="31" s="1"/>
  <c r="F7" i="13"/>
  <c r="F29" i="13"/>
  <c r="T22" i="31" s="1"/>
  <c r="G7" i="13"/>
  <c r="U2" i="31" s="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/>
  <c r="D21" i="12"/>
  <c r="R15" i="30" s="1"/>
  <c r="E21" i="12"/>
  <c r="S15" i="30"/>
  <c r="F21" i="12"/>
  <c r="T15" i="30" s="1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 s="1"/>
  <c r="D28" i="12"/>
  <c r="R21" i="30"/>
  <c r="E28" i="12"/>
  <c r="S21" i="30" s="1"/>
  <c r="F28" i="12"/>
  <c r="T21" i="30"/>
  <c r="G28" i="12"/>
  <c r="U21" i="30" s="1"/>
  <c r="P22" i="30"/>
  <c r="Q22" i="30"/>
  <c r="R22" i="30"/>
  <c r="S22" i="30"/>
  <c r="T22" i="30"/>
  <c r="U22" i="30"/>
  <c r="B7" i="12"/>
  <c r="B31" i="12" s="1"/>
  <c r="P23" i="30" s="1"/>
  <c r="C7" i="12"/>
  <c r="C31" i="12"/>
  <c r="Q23" i="30" s="1"/>
  <c r="D7" i="12"/>
  <c r="E7" i="12"/>
  <c r="F7" i="12"/>
  <c r="F31" i="12" s="1"/>
  <c r="T23" i="30" s="1"/>
  <c r="G7" i="12"/>
  <c r="G31" i="12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/>
  <c r="D36" i="12"/>
  <c r="R27" i="30" s="1"/>
  <c r="E36" i="12"/>
  <c r="S27" i="30"/>
  <c r="F36" i="12"/>
  <c r="T27" i="30" s="1"/>
  <c r="G36" i="12"/>
  <c r="U27" i="30"/>
  <c r="Q2" i="30"/>
  <c r="R2" i="30"/>
  <c r="S2" i="30"/>
  <c r="U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C30" i="11"/>
  <c r="Q22" i="29" s="1"/>
  <c r="D8" i="11"/>
  <c r="D30" i="11" s="1"/>
  <c r="R22" i="29" s="1"/>
  <c r="E8" i="11"/>
  <c r="F8" i="11"/>
  <c r="F30" i="11" s="1"/>
  <c r="T22" i="29" s="1"/>
  <c r="G8" i="11"/>
  <c r="G30" i="11"/>
  <c r="U22" i="29" s="1"/>
  <c r="Q2" i="29"/>
  <c r="R2" i="29"/>
  <c r="S2" i="29"/>
  <c r="U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/>
  <c r="E29" i="10"/>
  <c r="S21" i="28" s="1"/>
  <c r="F29" i="10"/>
  <c r="T21" i="28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 s="1"/>
  <c r="E37" i="10"/>
  <c r="S27" i="28"/>
  <c r="F37" i="10"/>
  <c r="T27" i="28" s="1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9" i="9" s="1"/>
  <c r="Q2" i="27" s="1"/>
  <c r="C16" i="9"/>
  <c r="D12" i="9"/>
  <c r="D16" i="9"/>
  <c r="D9" i="9"/>
  <c r="R2" i="27" s="1"/>
  <c r="E12" i="9"/>
  <c r="E16" i="9"/>
  <c r="S9" i="27" s="1"/>
  <c r="E9" i="9"/>
  <c r="S2" i="27" s="1"/>
  <c r="F12" i="9"/>
  <c r="F16" i="9"/>
  <c r="F9" i="9"/>
  <c r="T2" i="27" s="1"/>
  <c r="Q3" i="27"/>
  <c r="R3" i="27"/>
  <c r="S3" i="27"/>
  <c r="T3" i="27"/>
  <c r="U3" i="27"/>
  <c r="Q4" i="27"/>
  <c r="R4" i="27"/>
  <c r="S4" i="27"/>
  <c r="T4" i="27"/>
  <c r="U4" i="27"/>
  <c r="R5" i="27"/>
  <c r="S5" i="27"/>
  <c r="T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Q9" i="27"/>
  <c r="R9" i="27"/>
  <c r="T9" i="27"/>
  <c r="Q10" i="27"/>
  <c r="R10" i="27"/>
  <c r="S10" i="27"/>
  <c r="T10" i="27"/>
  <c r="U10" i="27"/>
  <c r="Q11" i="27"/>
  <c r="R11" i="27"/>
  <c r="S11" i="27"/>
  <c r="T11" i="27"/>
  <c r="Q12" i="27"/>
  <c r="R12" i="27"/>
  <c r="S12" i="27"/>
  <c r="T12" i="27"/>
  <c r="C24" i="9"/>
  <c r="C21" i="9" s="1"/>
  <c r="C28" i="9"/>
  <c r="Q20" i="27" s="1"/>
  <c r="D24" i="9"/>
  <c r="D21" i="9" s="1"/>
  <c r="D28" i="9"/>
  <c r="R20" i="27" s="1"/>
  <c r="E24" i="9"/>
  <c r="E21" i="9" s="1"/>
  <c r="E28" i="9"/>
  <c r="S20" i="27" s="1"/>
  <c r="F24" i="9"/>
  <c r="T16" i="27" s="1"/>
  <c r="F28" i="9"/>
  <c r="G28" i="9"/>
  <c r="U20" i="27" s="1"/>
  <c r="Q14" i="27"/>
  <c r="R14" i="27"/>
  <c r="S14" i="27"/>
  <c r="T14" i="27"/>
  <c r="U14" i="27"/>
  <c r="Q15" i="27"/>
  <c r="R15" i="27"/>
  <c r="S15" i="27"/>
  <c r="T15" i="27"/>
  <c r="U15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U19" i="27"/>
  <c r="T20" i="27"/>
  <c r="Q21" i="27"/>
  <c r="R21" i="27"/>
  <c r="S21" i="27"/>
  <c r="T21" i="27"/>
  <c r="U21" i="27"/>
  <c r="Q22" i="27"/>
  <c r="R22" i="27"/>
  <c r="S22" i="27"/>
  <c r="T22" i="27"/>
  <c r="Q23" i="27"/>
  <c r="R23" i="27"/>
  <c r="S23" i="27"/>
  <c r="T23" i="27"/>
  <c r="P3" i="27"/>
  <c r="P4" i="27"/>
  <c r="B12" i="9"/>
  <c r="P5" i="27" s="1"/>
  <c r="P6" i="27"/>
  <c r="P7" i="27"/>
  <c r="P8" i="27"/>
  <c r="B16" i="9"/>
  <c r="P9" i="27" s="1"/>
  <c r="P10" i="27"/>
  <c r="P11" i="27"/>
  <c r="P12" i="27"/>
  <c r="B24" i="9"/>
  <c r="B28" i="9"/>
  <c r="P14" i="27"/>
  <c r="P15" i="27"/>
  <c r="P16" i="27"/>
  <c r="P17" i="27"/>
  <c r="P18" i="27"/>
  <c r="P19" i="27"/>
  <c r="P21" i="27"/>
  <c r="P22" i="27"/>
  <c r="P23" i="27"/>
  <c r="B9" i="9"/>
  <c r="P2" i="27" s="1"/>
  <c r="A5" i="27"/>
  <c r="A4" i="27"/>
  <c r="A3" i="27"/>
  <c r="A2" i="27"/>
  <c r="C10" i="8"/>
  <c r="C19" i="8"/>
  <c r="C27" i="8"/>
  <c r="C37" i="8"/>
  <c r="C9" i="8" s="1"/>
  <c r="Q2" i="26" s="1"/>
  <c r="D10" i="8"/>
  <c r="D19" i="8"/>
  <c r="R12" i="26" s="1"/>
  <c r="D27" i="8"/>
  <c r="D37" i="8"/>
  <c r="E10" i="8"/>
  <c r="E19" i="8"/>
  <c r="S12" i="26" s="1"/>
  <c r="E27" i="8"/>
  <c r="E37" i="8"/>
  <c r="E9" i="8" s="1"/>
  <c r="S2" i="26" s="1"/>
  <c r="F10" i="8"/>
  <c r="T3" i="26" s="1"/>
  <c r="F19" i="8"/>
  <c r="F27" i="8"/>
  <c r="F37" i="8"/>
  <c r="T30" i="26" s="1"/>
  <c r="Q3" i="26"/>
  <c r="R3" i="26"/>
  <c r="S3" i="26"/>
  <c r="Q4" i="26"/>
  <c r="R4" i="26"/>
  <c r="S4" i="26"/>
  <c r="T4" i="26"/>
  <c r="U4" i="26"/>
  <c r="Q5" i="26"/>
  <c r="R5" i="26"/>
  <c r="S5" i="26"/>
  <c r="T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Q10" i="26"/>
  <c r="R10" i="26"/>
  <c r="S10" i="26"/>
  <c r="T10" i="26"/>
  <c r="U10" i="26"/>
  <c r="Q11" i="26"/>
  <c r="R11" i="26"/>
  <c r="S11" i="26"/>
  <c r="T11" i="26"/>
  <c r="U11" i="26"/>
  <c r="Q12" i="26"/>
  <c r="Q13" i="26"/>
  <c r="R13" i="26"/>
  <c r="S13" i="26"/>
  <c r="T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R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Q45" i="26" s="1"/>
  <c r="C61" i="8"/>
  <c r="C71" i="8"/>
  <c r="D44" i="8"/>
  <c r="D53" i="8"/>
  <c r="D61" i="8"/>
  <c r="D71" i="8"/>
  <c r="D43" i="8" s="1"/>
  <c r="E44" i="8"/>
  <c r="E53" i="8"/>
  <c r="E61" i="8"/>
  <c r="E71" i="8"/>
  <c r="F44" i="8"/>
  <c r="F53" i="8"/>
  <c r="T45" i="26" s="1"/>
  <c r="F61" i="8"/>
  <c r="F71" i="8"/>
  <c r="F43" i="8" s="1"/>
  <c r="Q36" i="26"/>
  <c r="R36" i="26"/>
  <c r="S36" i="26"/>
  <c r="T36" i="26"/>
  <c r="Q37" i="26"/>
  <c r="R37" i="26"/>
  <c r="S37" i="26"/>
  <c r="T37" i="26"/>
  <c r="U37" i="26"/>
  <c r="Q38" i="26"/>
  <c r="R38" i="26"/>
  <c r="S38" i="26"/>
  <c r="T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Q43" i="26"/>
  <c r="R43" i="26"/>
  <c r="S43" i="26"/>
  <c r="T43" i="26"/>
  <c r="U43" i="26"/>
  <c r="Q44" i="26"/>
  <c r="R44" i="26"/>
  <c r="S44" i="26"/>
  <c r="T44" i="26"/>
  <c r="U44" i="26"/>
  <c r="R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Q54" i="26"/>
  <c r="R54" i="26"/>
  <c r="S54" i="26"/>
  <c r="T54" i="26"/>
  <c r="Q55" i="26"/>
  <c r="R55" i="26"/>
  <c r="S55" i="26"/>
  <c r="T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Q67" i="26"/>
  <c r="R67" i="26"/>
  <c r="S67" i="26"/>
  <c r="T67" i="26"/>
  <c r="U67" i="26"/>
  <c r="B44" i="8"/>
  <c r="P36" i="26" s="1"/>
  <c r="B53" i="8"/>
  <c r="B61" i="8"/>
  <c r="B71" i="8"/>
  <c r="B10" i="8"/>
  <c r="B19" i="8"/>
  <c r="B27" i="8"/>
  <c r="P20" i="26" s="1"/>
  <c r="B37" i="8"/>
  <c r="P30" i="26" s="1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F9" i="7"/>
  <c r="F19" i="7"/>
  <c r="T3" i="25" s="1"/>
  <c r="E9" i="7"/>
  <c r="E19" i="7"/>
  <c r="S3" i="25" s="1"/>
  <c r="D9" i="7"/>
  <c r="D19" i="7"/>
  <c r="R3" i="25" s="1"/>
  <c r="C9" i="7"/>
  <c r="C19" i="7"/>
  <c r="Q3" i="25" s="1"/>
  <c r="B9" i="7"/>
  <c r="B19" i="7"/>
  <c r="P3" i="25" s="1"/>
  <c r="A3" i="25"/>
  <c r="A4" i="25"/>
  <c r="A2" i="25"/>
  <c r="A87" i="24"/>
  <c r="C85" i="6"/>
  <c r="C93" i="6"/>
  <c r="C103" i="6"/>
  <c r="Q95" i="24" s="1"/>
  <c r="C113" i="6"/>
  <c r="C123" i="6"/>
  <c r="C133" i="6"/>
  <c r="Q125" i="24" s="1"/>
  <c r="C146" i="6"/>
  <c r="C150" i="6"/>
  <c r="D85" i="6"/>
  <c r="R77" i="24" s="1"/>
  <c r="D93" i="6"/>
  <c r="D103" i="6"/>
  <c r="R95" i="24" s="1"/>
  <c r="D113" i="6"/>
  <c r="D123" i="6"/>
  <c r="D133" i="6"/>
  <c r="R125" i="24" s="1"/>
  <c r="D146" i="6"/>
  <c r="D150" i="6"/>
  <c r="E85" i="6"/>
  <c r="S77" i="24" s="1"/>
  <c r="E93" i="6"/>
  <c r="E103" i="6"/>
  <c r="S95" i="24" s="1"/>
  <c r="E113" i="6"/>
  <c r="S105" i="24" s="1"/>
  <c r="E123" i="6"/>
  <c r="E133" i="6"/>
  <c r="S125" i="24" s="1"/>
  <c r="E146" i="6"/>
  <c r="E150" i="6"/>
  <c r="F85" i="6"/>
  <c r="T77" i="24" s="1"/>
  <c r="F93" i="6"/>
  <c r="F103" i="6"/>
  <c r="T95" i="24" s="1"/>
  <c r="F113" i="6"/>
  <c r="T105" i="24" s="1"/>
  <c r="F123" i="6"/>
  <c r="F133" i="6"/>
  <c r="T125" i="24" s="1"/>
  <c r="F146" i="6"/>
  <c r="F150" i="6"/>
  <c r="G146" i="6"/>
  <c r="Q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T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Q94" i="24"/>
  <c r="R94" i="24"/>
  <c r="S94" i="24"/>
  <c r="T94" i="24"/>
  <c r="U94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Q105" i="24"/>
  <c r="R105" i="24"/>
  <c r="Q106" i="24"/>
  <c r="R106" i="24"/>
  <c r="S106" i="24"/>
  <c r="T106" i="24"/>
  <c r="Q107" i="24"/>
  <c r="R107" i="24"/>
  <c r="S107" i="24"/>
  <c r="T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Q123" i="24"/>
  <c r="R123" i="24"/>
  <c r="S123" i="24"/>
  <c r="T123" i="24"/>
  <c r="U123" i="24"/>
  <c r="Q124" i="24"/>
  <c r="R124" i="24"/>
  <c r="S124" i="24"/>
  <c r="T124" i="24"/>
  <c r="U124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T129" i="24"/>
  <c r="Q130" i="24"/>
  <c r="R130" i="24"/>
  <c r="S130" i="24"/>
  <c r="T130" i="24"/>
  <c r="U130" i="24"/>
  <c r="Q131" i="24"/>
  <c r="R131" i="24"/>
  <c r="S131" i="24"/>
  <c r="T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C10" i="6"/>
  <c r="Q3" i="24" s="1"/>
  <c r="C18" i="6"/>
  <c r="C28" i="6"/>
  <c r="C38" i="6"/>
  <c r="C48" i="6"/>
  <c r="C58" i="6"/>
  <c r="Q51" i="24" s="1"/>
  <c r="C71" i="6"/>
  <c r="Q64" i="24" s="1"/>
  <c r="C75" i="6"/>
  <c r="D10" i="6"/>
  <c r="R3" i="24" s="1"/>
  <c r="D18" i="6"/>
  <c r="D28" i="6"/>
  <c r="D38" i="6"/>
  <c r="D48" i="6"/>
  <c r="D58" i="6"/>
  <c r="R51" i="24" s="1"/>
  <c r="D71" i="6"/>
  <c r="R64" i="24" s="1"/>
  <c r="D75" i="6"/>
  <c r="E10" i="6"/>
  <c r="E18" i="6"/>
  <c r="E28" i="6"/>
  <c r="E38" i="6"/>
  <c r="E48" i="6"/>
  <c r="E58" i="6"/>
  <c r="E71" i="6"/>
  <c r="S64" i="24" s="1"/>
  <c r="E75" i="6"/>
  <c r="F10" i="6"/>
  <c r="F18" i="6"/>
  <c r="F28" i="6"/>
  <c r="F38" i="6"/>
  <c r="F48" i="6"/>
  <c r="F58" i="6"/>
  <c r="T51" i="24" s="1"/>
  <c r="F71" i="6"/>
  <c r="F75" i="6"/>
  <c r="G28" i="6"/>
  <c r="U21" i="24" s="1"/>
  <c r="G38" i="6"/>
  <c r="G48" i="6"/>
  <c r="U41" i="24" s="1"/>
  <c r="B85" i="6"/>
  <c r="B93" i="6"/>
  <c r="P85" i="24" s="1"/>
  <c r="B103" i="6"/>
  <c r="P95" i="24" s="1"/>
  <c r="B113" i="6"/>
  <c r="B123" i="6"/>
  <c r="B133" i="6"/>
  <c r="P125" i="24" s="1"/>
  <c r="B146" i="6"/>
  <c r="P138" i="24" s="1"/>
  <c r="B150" i="6"/>
  <c r="P142" i="24" s="1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S3" i="24"/>
  <c r="T3" i="24"/>
  <c r="Q4" i="24"/>
  <c r="R4" i="24"/>
  <c r="S4" i="24"/>
  <c r="T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Q31" i="24"/>
  <c r="R31" i="24"/>
  <c r="S31" i="24"/>
  <c r="T31" i="24"/>
  <c r="U31" i="24"/>
  <c r="Q32" i="24"/>
  <c r="R32" i="24"/>
  <c r="S32" i="24"/>
  <c r="T32" i="24"/>
  <c r="Q33" i="24"/>
  <c r="R33" i="24"/>
  <c r="S33" i="24"/>
  <c r="T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Q50" i="24"/>
  <c r="R50" i="24"/>
  <c r="S50" i="24"/>
  <c r="T50" i="24"/>
  <c r="U50" i="24"/>
  <c r="S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S55" i="24"/>
  <c r="T55" i="24"/>
  <c r="Q56" i="24"/>
  <c r="R56" i="24"/>
  <c r="S56" i="24"/>
  <c r="T56" i="24"/>
  <c r="U56" i="24"/>
  <c r="Q57" i="24"/>
  <c r="R57" i="24"/>
  <c r="S57" i="24"/>
  <c r="T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Q62" i="24"/>
  <c r="R62" i="24"/>
  <c r="S62" i="24"/>
  <c r="T62" i="24"/>
  <c r="U62" i="24"/>
  <c r="Q63" i="24"/>
  <c r="R63" i="24"/>
  <c r="S63" i="24"/>
  <c r="T63" i="24"/>
  <c r="U63" i="24"/>
  <c r="T64" i="24"/>
  <c r="Q65" i="24"/>
  <c r="R65" i="24"/>
  <c r="S65" i="24"/>
  <c r="T65" i="24"/>
  <c r="U65" i="24"/>
  <c r="Q66" i="24"/>
  <c r="R66" i="24"/>
  <c r="S66" i="24"/>
  <c r="T66" i="24"/>
  <c r="Q67" i="24"/>
  <c r="R67" i="24"/>
  <c r="S67" i="24"/>
  <c r="T67" i="24"/>
  <c r="U67" i="24"/>
  <c r="Q68" i="24"/>
  <c r="R68" i="24"/>
  <c r="S68" i="24"/>
  <c r="T68" i="24"/>
  <c r="Q69" i="24"/>
  <c r="R69" i="24"/>
  <c r="S69" i="24"/>
  <c r="T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6" i="20"/>
  <c r="U27" i="20"/>
  <c r="U28" i="20"/>
  <c r="U32" i="20"/>
  <c r="U33" i="20"/>
  <c r="G46" i="5"/>
  <c r="U38" i="20" s="1"/>
  <c r="G47" i="5"/>
  <c r="G48" i="5"/>
  <c r="G49" i="5"/>
  <c r="U41" i="20" s="1"/>
  <c r="G50" i="5"/>
  <c r="U42" i="20" s="1"/>
  <c r="G51" i="5"/>
  <c r="U43" i="20" s="1"/>
  <c r="G52" i="5"/>
  <c r="G53" i="5"/>
  <c r="U40" i="20"/>
  <c r="U44" i="20"/>
  <c r="U45" i="20"/>
  <c r="G55" i="5"/>
  <c r="G56" i="5"/>
  <c r="U48" i="20" s="1"/>
  <c r="G57" i="5"/>
  <c r="G58" i="5"/>
  <c r="U47" i="20"/>
  <c r="U49" i="20"/>
  <c r="G60" i="5"/>
  <c r="G61" i="5"/>
  <c r="G59" i="5" s="1"/>
  <c r="U51" i="20" s="1"/>
  <c r="U52" i="20"/>
  <c r="U53" i="20"/>
  <c r="G62" i="5"/>
  <c r="U54" i="20" s="1"/>
  <c r="G63" i="5"/>
  <c r="U55" i="20"/>
  <c r="G68" i="5"/>
  <c r="U58" i="20" s="1"/>
  <c r="G73" i="5"/>
  <c r="U60" i="20"/>
  <c r="G74" i="5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/>
  <c r="F35" i="5"/>
  <c r="T29" i="20" s="1"/>
  <c r="Q30" i="20"/>
  <c r="R30" i="20"/>
  <c r="S30" i="20"/>
  <c r="T30" i="20"/>
  <c r="C37" i="5"/>
  <c r="Q31" i="20"/>
  <c r="D37" i="5"/>
  <c r="R31" i="20" s="1"/>
  <c r="E37" i="5"/>
  <c r="S31" i="20"/>
  <c r="F37" i="5"/>
  <c r="T31" i="20" s="1"/>
  <c r="Q32" i="20"/>
  <c r="R32" i="20"/>
  <c r="S32" i="20"/>
  <c r="T32" i="20"/>
  <c r="Q33" i="20"/>
  <c r="R33" i="20"/>
  <c r="S33" i="20"/>
  <c r="T33" i="20"/>
  <c r="D41" i="5"/>
  <c r="R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 s="1"/>
  <c r="E54" i="5"/>
  <c r="E65" i="5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 s="1"/>
  <c r="E59" i="5"/>
  <c r="S51" i="20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/>
  <c r="P60" i="20"/>
  <c r="P58" i="20"/>
  <c r="B67" i="5"/>
  <c r="P57" i="20" s="1"/>
  <c r="B45" i="5"/>
  <c r="P37" i="20" s="1"/>
  <c r="B54" i="5"/>
  <c r="P46" i="20" s="1"/>
  <c r="B59" i="5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B16" i="5"/>
  <c r="P10" i="20" s="1"/>
  <c r="B28" i="5"/>
  <c r="P22" i="20" s="1"/>
  <c r="B35" i="5"/>
  <c r="P29" i="20" s="1"/>
  <c r="B37" i="5"/>
  <c r="P31" i="20" s="1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B6" i="1" s="1"/>
  <c r="F18" i="23"/>
  <c r="K6" i="3" s="1"/>
  <c r="E18" i="23"/>
  <c r="J6" i="3" s="1"/>
  <c r="D18" i="23"/>
  <c r="I6" i="3"/>
  <c r="F6" i="1"/>
  <c r="E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 s="1"/>
  <c r="H23" i="23"/>
  <c r="F6" i="11"/>
  <c r="G23" i="23"/>
  <c r="E6" i="11" s="1"/>
  <c r="F23" i="23"/>
  <c r="D6" i="11"/>
  <c r="E23" i="23"/>
  <c r="C6" i="11" s="1"/>
  <c r="F6" i="10"/>
  <c r="E6" i="10"/>
  <c r="D6" i="10"/>
  <c r="B6" i="10"/>
  <c r="G5" i="13"/>
  <c r="G5" i="12"/>
  <c r="C11" i="23"/>
  <c r="A2" i="13" s="1"/>
  <c r="A2" i="14"/>
  <c r="A5" i="9"/>
  <c r="A5" i="8"/>
  <c r="A5" i="7"/>
  <c r="A5" i="6"/>
  <c r="A4" i="5"/>
  <c r="A4" i="4"/>
  <c r="A4" i="3"/>
  <c r="A4" i="2"/>
  <c r="A4" i="1"/>
  <c r="K15" i="3"/>
  <c r="K16" i="3"/>
  <c r="K14" i="3" s="1"/>
  <c r="Y4" i="17" s="1"/>
  <c r="K17" i="3"/>
  <c r="K18" i="3"/>
  <c r="J14" i="3"/>
  <c r="X4" i="17" s="1"/>
  <c r="I14" i="3"/>
  <c r="I20" i="3" s="1"/>
  <c r="W5" i="17" s="1"/>
  <c r="I8" i="3"/>
  <c r="H14" i="3"/>
  <c r="G14" i="3"/>
  <c r="E14" i="3"/>
  <c r="E20" i="3" s="1"/>
  <c r="S5" i="17" s="1"/>
  <c r="K9" i="3"/>
  <c r="K10" i="3"/>
  <c r="K8" i="3" s="1"/>
  <c r="K11" i="3"/>
  <c r="K12" i="3"/>
  <c r="J8" i="3"/>
  <c r="H8" i="3"/>
  <c r="H20" i="3"/>
  <c r="V5" i="17" s="1"/>
  <c r="G8" i="3"/>
  <c r="G20" i="3" s="1"/>
  <c r="U5" i="17" s="1"/>
  <c r="E8" i="3"/>
  <c r="F41" i="2"/>
  <c r="E41" i="2"/>
  <c r="D41" i="2"/>
  <c r="R17" i="16" s="1"/>
  <c r="C41" i="2"/>
  <c r="H27" i="2"/>
  <c r="G27" i="2"/>
  <c r="U15" i="16" s="1"/>
  <c r="F27" i="2"/>
  <c r="T15" i="16" s="1"/>
  <c r="E27" i="2"/>
  <c r="D27" i="2"/>
  <c r="C27" i="2"/>
  <c r="Q15" i="16"/>
  <c r="B41" i="2"/>
  <c r="B27" i="2"/>
  <c r="H22" i="2"/>
  <c r="G22" i="2"/>
  <c r="U14" i="16" s="1"/>
  <c r="F22" i="2"/>
  <c r="E22" i="2"/>
  <c r="D22" i="2"/>
  <c r="C22" i="2"/>
  <c r="Q14" i="16" s="1"/>
  <c r="B22" i="2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P27" i="18" s="1"/>
  <c r="B48" i="4"/>
  <c r="B37" i="4"/>
  <c r="B44" i="4" s="1"/>
  <c r="B29" i="4"/>
  <c r="B17" i="4"/>
  <c r="B13" i="4"/>
  <c r="P6" i="18" s="1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8" i="18"/>
  <c r="P29" i="18"/>
  <c r="P26" i="18"/>
  <c r="P20" i="18"/>
  <c r="P21" i="18"/>
  <c r="P22" i="18"/>
  <c r="P23" i="18"/>
  <c r="P24" i="18"/>
  <c r="P19" i="18"/>
  <c r="P16" i="18"/>
  <c r="P17" i="18"/>
  <c r="P15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23" i="1"/>
  <c r="F27" i="1"/>
  <c r="F31" i="1"/>
  <c r="F38" i="1"/>
  <c r="F42" i="1"/>
  <c r="F63" i="1"/>
  <c r="Q106" i="15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E19" i="1"/>
  <c r="E47" i="1" s="1"/>
  <c r="E23" i="1"/>
  <c r="E27" i="1"/>
  <c r="E31" i="1"/>
  <c r="E38" i="1"/>
  <c r="P87" i="15" s="1"/>
  <c r="E42" i="1"/>
  <c r="E57" i="1"/>
  <c r="P103" i="15" s="1"/>
  <c r="E63" i="1"/>
  <c r="E68" i="1"/>
  <c r="P110" i="15" s="1"/>
  <c r="E75" i="1"/>
  <c r="E79" i="1"/>
  <c r="P119" i="15" s="1"/>
  <c r="P117" i="15"/>
  <c r="P118" i="15"/>
  <c r="P116" i="15"/>
  <c r="P111" i="15"/>
  <c r="P112" i="15"/>
  <c r="P113" i="15"/>
  <c r="P114" i="15"/>
  <c r="P115" i="15"/>
  <c r="P107" i="15"/>
  <c r="P108" i="15"/>
  <c r="P109" i="15"/>
  <c r="P106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17" i="1"/>
  <c r="C31" i="1"/>
  <c r="C38" i="1"/>
  <c r="C41" i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D70" i="4"/>
  <c r="C68" i="4"/>
  <c r="D68" i="4"/>
  <c r="R36" i="18" s="1"/>
  <c r="C64" i="4"/>
  <c r="D64" i="4"/>
  <c r="C63" i="4"/>
  <c r="D63" i="4"/>
  <c r="R32" i="18" s="1"/>
  <c r="C48" i="4"/>
  <c r="C55" i="4"/>
  <c r="D55" i="4"/>
  <c r="C53" i="4"/>
  <c r="Q30" i="18" s="1"/>
  <c r="D53" i="4"/>
  <c r="D48" i="4"/>
  <c r="C49" i="4"/>
  <c r="D49" i="4"/>
  <c r="C29" i="4"/>
  <c r="D29" i="4"/>
  <c r="C40" i="4"/>
  <c r="D40" i="4"/>
  <c r="C37" i="4"/>
  <c r="D37" i="4"/>
  <c r="C17" i="4"/>
  <c r="C13" i="4"/>
  <c r="Q6" i="18" s="1"/>
  <c r="D13" i="4"/>
  <c r="U4" i="17"/>
  <c r="V4" i="17"/>
  <c r="W3" i="17"/>
  <c r="X3" i="17"/>
  <c r="S17" i="16"/>
  <c r="Q17" i="16"/>
  <c r="T17" i="16"/>
  <c r="P17" i="16"/>
  <c r="R15" i="16"/>
  <c r="S15" i="16"/>
  <c r="V15" i="16"/>
  <c r="P15" i="16"/>
  <c r="R14" i="16"/>
  <c r="V14" i="16"/>
  <c r="P14" i="16"/>
  <c r="C13" i="2"/>
  <c r="Q8" i="16"/>
  <c r="D13" i="2"/>
  <c r="R8" i="16" s="1"/>
  <c r="E13" i="2"/>
  <c r="S8" i="16"/>
  <c r="F13" i="2"/>
  <c r="T8" i="16" s="1"/>
  <c r="G13" i="2"/>
  <c r="H13" i="2"/>
  <c r="V8" i="16" s="1"/>
  <c r="B13" i="2"/>
  <c r="P8" i="16"/>
  <c r="C9" i="2"/>
  <c r="Q4" i="16" s="1"/>
  <c r="D9" i="2"/>
  <c r="R4" i="16"/>
  <c r="E9" i="2"/>
  <c r="E8" i="2" s="1"/>
  <c r="F9" i="2"/>
  <c r="T4" i="16"/>
  <c r="G9" i="2"/>
  <c r="G8" i="2" s="1"/>
  <c r="H9" i="2"/>
  <c r="V4" i="16"/>
  <c r="B9" i="2"/>
  <c r="P4" i="16" s="1"/>
  <c r="P4" i="15"/>
  <c r="R22" i="18"/>
  <c r="R27" i="18"/>
  <c r="Q9" i="18"/>
  <c r="Q22" i="18"/>
  <c r="Q27" i="18"/>
  <c r="R31" i="18"/>
  <c r="Q32" i="18"/>
  <c r="Q36" i="18"/>
  <c r="R19" i="18"/>
  <c r="R15" i="18"/>
  <c r="R26" i="18"/>
  <c r="Q31" i="18"/>
  <c r="R33" i="18"/>
  <c r="R37" i="18"/>
  <c r="R6" i="18"/>
  <c r="Q19" i="18"/>
  <c r="Q15" i="18"/>
  <c r="R30" i="18"/>
  <c r="Q26" i="18"/>
  <c r="Q33" i="18"/>
  <c r="Q37" i="18"/>
  <c r="S3" i="17"/>
  <c r="U8" i="16"/>
  <c r="S14" i="16"/>
  <c r="T14" i="16"/>
  <c r="D44" i="4"/>
  <c r="D57" i="4"/>
  <c r="D59" i="4" s="1"/>
  <c r="D8" i="2"/>
  <c r="R3" i="16" s="1"/>
  <c r="C44" i="4"/>
  <c r="C74" i="4"/>
  <c r="Q39" i="18" s="1"/>
  <c r="H8" i="2"/>
  <c r="V3" i="16" s="1"/>
  <c r="F8" i="2"/>
  <c r="F20" i="2"/>
  <c r="T13" i="16" s="1"/>
  <c r="C8" i="2"/>
  <c r="C20" i="2"/>
  <c r="Q13" i="16"/>
  <c r="D11" i="4"/>
  <c r="R25" i="18"/>
  <c r="C11" i="4"/>
  <c r="C8" i="4" s="1"/>
  <c r="Q25" i="18"/>
  <c r="T3" i="16"/>
  <c r="Q5" i="18"/>
  <c r="D8" i="4"/>
  <c r="R5" i="18"/>
  <c r="R2" i="18"/>
  <c r="D21" i="4"/>
  <c r="D23" i="4" s="1"/>
  <c r="F47" i="1"/>
  <c r="F59" i="1" s="1"/>
  <c r="Q67" i="15"/>
  <c r="Q3" i="16"/>
  <c r="V3" i="17"/>
  <c r="P2" i="25"/>
  <c r="T2" i="25"/>
  <c r="S4" i="17" l="1"/>
  <c r="W4" i="17"/>
  <c r="C29" i="7"/>
  <c r="Q4" i="25" s="1"/>
  <c r="E29" i="7"/>
  <c r="S4" i="25" s="1"/>
  <c r="U3" i="17"/>
  <c r="A2" i="9"/>
  <c r="A2" i="4"/>
  <c r="A2" i="8"/>
  <c r="A2" i="3"/>
  <c r="A2" i="7"/>
  <c r="A2" i="2"/>
  <c r="A2" i="5"/>
  <c r="A2" i="1"/>
  <c r="A2" i="10"/>
  <c r="A2" i="12"/>
  <c r="Q16" i="27"/>
  <c r="F21" i="9"/>
  <c r="T13" i="27" s="1"/>
  <c r="B21" i="9"/>
  <c r="B33" i="9" s="1"/>
  <c r="P24" i="27" s="1"/>
  <c r="S16" i="27"/>
  <c r="G21" i="9"/>
  <c r="U17" i="27"/>
  <c r="U11" i="27"/>
  <c r="Q5" i="27"/>
  <c r="E43" i="8"/>
  <c r="G53" i="8"/>
  <c r="U45" i="26" s="1"/>
  <c r="B43" i="8"/>
  <c r="P35" i="26" s="1"/>
  <c r="S30" i="26"/>
  <c r="F9" i="8"/>
  <c r="T2" i="26" s="1"/>
  <c r="B9" i="8"/>
  <c r="P2" i="26" s="1"/>
  <c r="G27" i="8"/>
  <c r="U20" i="26" s="1"/>
  <c r="U13" i="26"/>
  <c r="P12" i="26"/>
  <c r="G29" i="7"/>
  <c r="U4" i="25" s="1"/>
  <c r="B29" i="7"/>
  <c r="P4" i="25" s="1"/>
  <c r="D29" i="7"/>
  <c r="R4" i="25" s="1"/>
  <c r="F29" i="7"/>
  <c r="T4" i="25" s="1"/>
  <c r="U2" i="25"/>
  <c r="Q2" i="25"/>
  <c r="S2" i="25"/>
  <c r="U145" i="24"/>
  <c r="G137" i="6"/>
  <c r="U129" i="24" s="1"/>
  <c r="D84" i="6"/>
  <c r="R76" i="24" s="1"/>
  <c r="C84" i="6"/>
  <c r="Q76" i="24" s="1"/>
  <c r="U118" i="24"/>
  <c r="G113" i="6"/>
  <c r="U105" i="24" s="1"/>
  <c r="U106" i="24"/>
  <c r="G103" i="6"/>
  <c r="U95" i="24" s="1"/>
  <c r="F84" i="6"/>
  <c r="T76" i="24" s="1"/>
  <c r="U89" i="24"/>
  <c r="R85" i="24"/>
  <c r="Q85" i="24"/>
  <c r="G85" i="6"/>
  <c r="U77" i="24" s="1"/>
  <c r="E84" i="6"/>
  <c r="S76" i="24" s="1"/>
  <c r="U69" i="24"/>
  <c r="G62" i="6"/>
  <c r="U55" i="24" s="1"/>
  <c r="D9" i="6"/>
  <c r="B9" i="6"/>
  <c r="P2" i="24" s="1"/>
  <c r="G18" i="6"/>
  <c r="U11" i="24" s="1"/>
  <c r="F9" i="6"/>
  <c r="T2" i="24" s="1"/>
  <c r="E9" i="6"/>
  <c r="S2" i="24" s="1"/>
  <c r="C9" i="6"/>
  <c r="G10" i="6"/>
  <c r="U3" i="24" s="1"/>
  <c r="G75" i="5"/>
  <c r="U62" i="20" s="1"/>
  <c r="G67" i="5"/>
  <c r="U57" i="20" s="1"/>
  <c r="G54" i="5"/>
  <c r="U46" i="20" s="1"/>
  <c r="C65" i="5"/>
  <c r="Q56" i="20" s="1"/>
  <c r="B65" i="5"/>
  <c r="P56" i="20" s="1"/>
  <c r="F65" i="5"/>
  <c r="T56" i="20" s="1"/>
  <c r="F41" i="5"/>
  <c r="T34" i="20" s="1"/>
  <c r="E41" i="5"/>
  <c r="S34" i="20" s="1"/>
  <c r="G37" i="5"/>
  <c r="U31" i="20" s="1"/>
  <c r="S56" i="20"/>
  <c r="S46" i="20"/>
  <c r="D65" i="5"/>
  <c r="R56" i="20" s="1"/>
  <c r="G45" i="5"/>
  <c r="U30" i="20"/>
  <c r="C41" i="5"/>
  <c r="U25" i="20"/>
  <c r="G16" i="5"/>
  <c r="U10" i="20" s="1"/>
  <c r="B41" i="5"/>
  <c r="D72" i="4"/>
  <c r="C57" i="4"/>
  <c r="C59" i="4" s="1"/>
  <c r="R12" i="18"/>
  <c r="B72" i="4"/>
  <c r="B74" i="4" s="1"/>
  <c r="P39" i="18" s="1"/>
  <c r="D25" i="4"/>
  <c r="R13" i="18"/>
  <c r="B47" i="1"/>
  <c r="C47" i="1"/>
  <c r="C62" i="1" s="1"/>
  <c r="Q54" i="15" s="1"/>
  <c r="Q104" i="15"/>
  <c r="E59" i="1"/>
  <c r="P95" i="15"/>
  <c r="B11" i="4"/>
  <c r="P25" i="18"/>
  <c r="K20" i="3"/>
  <c r="Y5" i="17" s="1"/>
  <c r="Y3" i="17"/>
  <c r="G20" i="2"/>
  <c r="U13" i="16" s="1"/>
  <c r="U3" i="16"/>
  <c r="C21" i="4"/>
  <c r="Q2" i="18"/>
  <c r="E20" i="2"/>
  <c r="S13" i="16" s="1"/>
  <c r="S3" i="16"/>
  <c r="Q38" i="18"/>
  <c r="B8" i="2"/>
  <c r="Q26" i="15"/>
  <c r="B57" i="4"/>
  <c r="B59" i="4" s="1"/>
  <c r="C6" i="10"/>
  <c r="G6" i="10"/>
  <c r="T35" i="26"/>
  <c r="F77" i="8"/>
  <c r="T68" i="26" s="1"/>
  <c r="R35" i="26"/>
  <c r="R13" i="27"/>
  <c r="D33" i="9"/>
  <c r="R24" i="27" s="1"/>
  <c r="G9" i="8"/>
  <c r="U2" i="26" s="1"/>
  <c r="H20" i="2"/>
  <c r="V13" i="16" s="1"/>
  <c r="D20" i="2"/>
  <c r="R13" i="16" s="1"/>
  <c r="U4" i="16"/>
  <c r="S4" i="16"/>
  <c r="F79" i="1"/>
  <c r="Q119" i="15" s="1"/>
  <c r="A2" i="11"/>
  <c r="U13" i="27"/>
  <c r="S35" i="26"/>
  <c r="E77" i="8"/>
  <c r="S68" i="26" s="1"/>
  <c r="E33" i="9"/>
  <c r="S24" i="27" s="1"/>
  <c r="S13" i="27"/>
  <c r="C33" i="9"/>
  <c r="Q24" i="27" s="1"/>
  <c r="Q13" i="27"/>
  <c r="Q95" i="15"/>
  <c r="F33" i="9"/>
  <c r="T24" i="27" s="1"/>
  <c r="U61" i="20"/>
  <c r="U50" i="20"/>
  <c r="U39" i="20"/>
  <c r="B84" i="6"/>
  <c r="S85" i="24"/>
  <c r="P53" i="26"/>
  <c r="S45" i="26"/>
  <c r="G44" i="8"/>
  <c r="C43" i="8"/>
  <c r="T12" i="26"/>
  <c r="U3" i="26"/>
  <c r="D9" i="8"/>
  <c r="R2" i="26" s="1"/>
  <c r="G9" i="9"/>
  <c r="U2" i="27" s="1"/>
  <c r="B32" i="10"/>
  <c r="P23" i="28" s="1"/>
  <c r="G32" i="10"/>
  <c r="U23" i="28" s="1"/>
  <c r="E32" i="10"/>
  <c r="S23" i="28" s="1"/>
  <c r="C32" i="10"/>
  <c r="Q23" i="28" s="1"/>
  <c r="P2" i="29"/>
  <c r="T2" i="30"/>
  <c r="D31" i="12"/>
  <c r="R23" i="30" s="1"/>
  <c r="G29" i="13"/>
  <c r="U22" i="31" s="1"/>
  <c r="G71" i="8"/>
  <c r="U63" i="26" s="1"/>
  <c r="R2" i="25"/>
  <c r="T63" i="26"/>
  <c r="U54" i="26"/>
  <c r="Q30" i="26"/>
  <c r="R16" i="27"/>
  <c r="E30" i="11"/>
  <c r="S22" i="29" s="1"/>
  <c r="E31" i="12"/>
  <c r="S23" i="30" s="1"/>
  <c r="A2" i="6"/>
  <c r="P20" i="27"/>
  <c r="F32" i="10"/>
  <c r="T23" i="28" s="1"/>
  <c r="D32" i="10"/>
  <c r="R23" i="28" s="1"/>
  <c r="T2" i="29"/>
  <c r="P2" i="30"/>
  <c r="P13" i="27" l="1"/>
  <c r="G33" i="9"/>
  <c r="U24" i="27" s="1"/>
  <c r="B77" i="8"/>
  <c r="P68" i="26" s="1"/>
  <c r="D159" i="6"/>
  <c r="R150" i="24" s="1"/>
  <c r="C159" i="6"/>
  <c r="Q150" i="24" s="1"/>
  <c r="G84" i="6"/>
  <c r="U76" i="24" s="1"/>
  <c r="F159" i="6"/>
  <c r="T150" i="24" s="1"/>
  <c r="R2" i="24"/>
  <c r="G9" i="6"/>
  <c r="E159" i="6"/>
  <c r="S150" i="24" s="1"/>
  <c r="Q2" i="24"/>
  <c r="B70" i="5"/>
  <c r="G65" i="5"/>
  <c r="U56" i="20" s="1"/>
  <c r="U37" i="20"/>
  <c r="F70" i="5"/>
  <c r="E70" i="5"/>
  <c r="D70" i="5"/>
  <c r="Q34" i="20"/>
  <c r="C70" i="5"/>
  <c r="G41" i="5"/>
  <c r="G42" i="5" s="1"/>
  <c r="U35" i="20" s="1"/>
  <c r="P34" i="20"/>
  <c r="P38" i="18"/>
  <c r="R38" i="18"/>
  <c r="D74" i="4"/>
  <c r="R39" i="18" s="1"/>
  <c r="D33" i="4"/>
  <c r="R18" i="18" s="1"/>
  <c r="R14" i="18"/>
  <c r="B62" i="1"/>
  <c r="P54" i="15" s="1"/>
  <c r="P42" i="15"/>
  <c r="Q42" i="15"/>
  <c r="B159" i="6"/>
  <c r="P150" i="24" s="1"/>
  <c r="P76" i="24"/>
  <c r="E81" i="1"/>
  <c r="P120" i="15" s="1"/>
  <c r="P104" i="15"/>
  <c r="Q35" i="26"/>
  <c r="C77" i="8"/>
  <c r="Q68" i="26" s="1"/>
  <c r="D77" i="8"/>
  <c r="R68" i="26" s="1"/>
  <c r="B20" i="2"/>
  <c r="P13" i="16" s="1"/>
  <c r="P3" i="16"/>
  <c r="P5" i="18"/>
  <c r="B8" i="4"/>
  <c r="U36" i="26"/>
  <c r="G43" i="8"/>
  <c r="F81" i="1"/>
  <c r="Q120" i="15" s="1"/>
  <c r="C23" i="4"/>
  <c r="Q12" i="18"/>
  <c r="G159" i="6" l="1"/>
  <c r="U150" i="24" s="1"/>
  <c r="U2" i="24"/>
  <c r="G70" i="5"/>
  <c r="U34" i="20"/>
  <c r="G77" i="8"/>
  <c r="U68" i="26" s="1"/>
  <c r="U35" i="26"/>
  <c r="Q13" i="18"/>
  <c r="C25" i="4"/>
  <c r="B21" i="4"/>
  <c r="P2" i="18"/>
  <c r="P12" i="18" l="1"/>
  <c r="B23" i="4"/>
  <c r="Q14" i="18"/>
  <c r="C33" i="4"/>
  <c r="Q18" i="18" s="1"/>
  <c r="B25" i="4" l="1"/>
  <c r="P13" i="18"/>
  <c r="P14" i="18" l="1"/>
  <c r="B33" i="4"/>
  <c r="P18" i="18" s="1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<sst xmlns="http://schemas.openxmlformats.org/spreadsheetml/2006/main" count="4243" uniqueCount="3305">
  <si>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</si>
  <si>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</si>
  <si>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</si>
  <si>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</si>
  <si>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</si>
  <si>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</si>
  <si>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</si>
  <si>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</si>
  <si>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</si>
  <si>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</si>
  <si>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</si>
  <si>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</si>
  <si>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</si>
  <si>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</si>
  <si>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</si>
  <si>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</si>
  <si>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</si>
  <si>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</si>
  <si>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</si>
  <si>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</si>
  <si>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</si>
  <si>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</si>
  <si>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</si>
  <si>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</si>
  <si>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</si>
  <si>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</si>
  <si>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</si>
  <si>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</si>
  <si>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</si>
  <si>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</si>
  <si>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</si>
  <si>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</si>
  <si>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</si>
  <si>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</si>
  <si>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</si>
  <si>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</si>
  <si>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</si>
  <si>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</si>
  <si>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</si>
  <si>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</si>
  <si>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</si>
  <si>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</si>
  <si>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</si>
  <si>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</si>
  <si>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</si>
  <si>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</si>
  <si>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</si>
  <si>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</si>
  <si>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</si>
  <si>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</si>
  <si>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</si>
  <si>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</si>
  <si>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</si>
  <si>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</si>
  <si>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</si>
  <si>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</si>
  <si>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</si>
  <si>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</si>
  <si>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</si>
  <si>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</si>
  <si>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</si>
  <si>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</si>
  <si>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</si>
  <si>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</si>
  <si>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</si>
  <si>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</si>
  <si>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</si>
  <si>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</si>
  <si>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</si>
  <si>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</si>
  <si>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</si>
  <si>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</si>
  <si>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</si>
  <si>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</si>
  <si>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</si>
  <si>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</si>
  <si>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</si>
  <si>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</si>
  <si>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</si>
  <si>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</si>
  <si>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</si>
  <si>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</si>
  <si>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</si>
  <si>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</si>
  <si>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</si>
  <si>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</si>
  <si>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</si>
  <si>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</si>
  <si>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</si>
  <si>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</si>
  <si>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</si>
  <si>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</si>
  <si>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</si>
  <si>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</si>
  <si>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</si>
  <si>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</si>
  <si>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</si>
  <si>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</si>
  <si>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</si>
  <si>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</si>
  <si>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</si>
  <si>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</si>
  <si>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</si>
  <si>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</si>
  <si>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</si>
  <si>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</si>
  <si>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</si>
  <si>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</si>
  <si>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</si>
  <si>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</si>
  <si>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</si>
  <si>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</si>
  <si>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</si>
  <si>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</si>
  <si>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</si>
  <si>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</si>
  <si>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</si>
  <si>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</si>
  <si>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</si>
  <si>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</si>
  <si>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</si>
  <si>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</si>
  <si>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</si>
  <si>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</si>
  <si>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</si>
  <si>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</si>
  <si>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</si>
  <si>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</si>
  <si>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</si>
  <si>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</si>
  <si>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</si>
  <si>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</si>
  <si>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</si>
  <si>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</si>
  <si>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</si>
  <si>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</si>
  <si>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</si>
  <si>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</si>
  <si>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</si>
  <si>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</si>
  <si>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</si>
  <si>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</si>
  <si>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</si>
  <si>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</si>
  <si>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</si>
  <si>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</si>
  <si>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</si>
  <si>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</si>
  <si>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</si>
  <si>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</si>
  <si>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</si>
  <si>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</si>
  <si>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</si>
  <si>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</si>
  <si>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</si>
  <si>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</si>
  <si>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</si>
  <si>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</si>
  <si>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</si>
  <si>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</si>
  <si>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</si>
  <si>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</si>
  <si>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</si>
  <si>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</si>
  <si>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</si>
  <si>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</si>
  <si>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</si>
  <si>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</si>
  <si>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</si>
  <si>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</si>
  <si>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</si>
  <si>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</si>
  <si>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</si>
  <si>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</si>
  <si>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</si>
  <si>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</si>
  <si>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</si>
  <si>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</si>
  <si>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</si>
  <si>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</si>
  <si>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</si>
  <si>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</si>
  <si>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</si>
  <si>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</si>
  <si>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</si>
  <si>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</si>
  <si>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</si>
  <si>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</si>
  <si>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</si>
  <si>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</si>
  <si>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</si>
  <si>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</si>
  <si>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</si>
  <si>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</si>
  <si>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</si>
  <si>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</si>
  <si>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</si>
  <si>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</si>
  <si>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</si>
  <si>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</si>
  <si>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</si>
  <si>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</si>
  <si>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</si>
  <si>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</si>
  <si>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</si>
  <si>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</si>
  <si>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</si>
  <si>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</si>
  <si>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</si>
  <si>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</si>
  <si>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</si>
  <si>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</si>
  <si>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</si>
  <si>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</si>
  <si>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</si>
  <si>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</si>
  <si>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</si>
  <si>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</si>
  <si>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</si>
  <si>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</si>
  <si>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</si>
  <si>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</si>
  <si>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</si>
  <si>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</si>
  <si>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</si>
  <si>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</si>
  <si>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</si>
  <si>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</si>
  <si>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</si>
  <si>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</si>
  <si>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</si>
  <si>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</si>
  <si>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</si>
  <si>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</si>
  <si>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</si>
  <si>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</si>
  <si>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</si>
  <si>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</si>
  <si>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</si>
  <si>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</si>
  <si>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</si>
  <si>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</si>
  <si>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</si>
  <si>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</si>
  <si>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</si>
  <si>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</si>
  <si>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</si>
  <si>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</si>
  <si>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</si>
  <si>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</si>
  <si>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</si>
  <si>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</si>
  <si>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</si>
  <si>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</si>
  <si>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</si>
  <si>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</si>
  <si>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</si>
  <si>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</si>
  <si>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</si>
  <si>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</si>
  <si>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</si>
  <si>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</si>
  <si>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</si>
  <si>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</si>
  <si>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</si>
  <si>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</si>
  <si>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</si>
  <si>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</si>
  <si>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</si>
  <si>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</si>
  <si>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</si>
  <si>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</si>
  <si>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</si>
  <si>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</si>
  <si>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</si>
  <si>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</si>
  <si>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</si>
  <si>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</si>
  <si>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</si>
  <si>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</si>
  <si>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</si>
  <si>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</si>
  <si>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</si>
  <si>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</si>
  <si>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</si>
  <si>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</si>
  <si>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</si>
  <si>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</si>
  <si>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</si>
  <si>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</si>
  <si>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</si>
  <si>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</si>
  <si>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</si>
  <si>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</si>
  <si>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</si>
  <si>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</si>
  <si>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</si>
  <si>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</si>
  <si>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</si>
  <si>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</si>
  <si>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</si>
  <si>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</si>
  <si>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</si>
  <si>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</si>
  <si>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</si>
  <si>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</si>
  <si>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</si>
  <si>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</si>
  <si>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</si>
  <si>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</si>
  <si>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</si>
  <si>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</si>
  <si>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</si>
  <si>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</si>
  <si>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</si>
  <si>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</si>
  <si>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</si>
  <si>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</si>
  <si>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</si>
  <si>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</si>
  <si>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</si>
  <si>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</si>
  <si>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</si>
  <si>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</si>
  <si>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</si>
  <si>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</si>
  <si>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</si>
  <si>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</si>
  <si>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</si>
  <si>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</si>
  <si>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</si>
  <si>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</si>
  <si>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</si>
  <si>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</si>
  <si>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</si>
  <si>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</si>
  <si>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</si>
  <si>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</si>
  <si>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</si>
  <si>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</si>
  <si>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</si>
  <si>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</si>
  <si>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</si>
  <si>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</si>
  <si>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</si>
  <si>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</si>
  <si>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</si>
  <si>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</si>
  <si>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</si>
  <si>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</si>
  <si>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</si>
  <si>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</si>
  <si>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</si>
  <si>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</si>
  <si>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</si>
  <si>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</si>
  <si>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</si>
  <si>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</si>
  <si>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</si>
  <si>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</si>
  <si>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</si>
  <si>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</si>
  <si>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</si>
  <si>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</si>
  <si>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</si>
  <si>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</si>
  <si>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</si>
  <si>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</si>
  <si>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</si>
  <si>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</si>
  <si>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</si>
  <si>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</si>
  <si>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</si>
  <si>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</si>
  <si>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</si>
  <si>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</si>
  <si>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</si>
  <si>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</si>
  <si>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</si>
  <si>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</si>
  <si>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</si>
  <si>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</si>
  <si>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</si>
  <si>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</si>
  <si>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</si>
  <si>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</si>
  <si>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</si>
  <si>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</si>
  <si>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</si>
  <si>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</si>
  <si>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</si>
  <si>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</si>
  <si>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</si>
  <si>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</si>
  <si>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</si>
  <si>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</si>
  <si>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</si>
  <si>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</si>
  <si>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</si>
  <si>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</si>
  <si>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</si>
  <si>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</si>
  <si>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</si>
  <si>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</si>
  <si>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</si>
  <si>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</si>
  <si>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</si>
  <si>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</si>
  <si>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</si>
  <si>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</si>
  <si>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</si>
  <si>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</si>
  <si>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</si>
  <si>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</si>
  <si>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</si>
  <si>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</si>
  <si>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</si>
  <si>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</si>
  <si>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</si>
  <si>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</si>
  <si>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</si>
  <si>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</si>
  <si>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</si>
  <si>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</si>
  <si>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</si>
  <si>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</si>
  <si>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</si>
  <si>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</si>
  <si>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</si>
  <si>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</si>
  <si>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</si>
  <si>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</si>
  <si>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</si>
  <si>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</si>
  <si>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</si>
  <si>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</si>
  <si>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</si>
  <si>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</si>
  <si>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</si>
  <si>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</si>
  <si>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</si>
  <si>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</si>
  <si>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</si>
  <si>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</si>
  <si>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</si>
  <si>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</si>
  <si>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</si>
  <si>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</si>
  <si>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</si>
  <si>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</si>
  <si>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</si>
  <si>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</si>
  <si>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</si>
  <si>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</si>
  <si>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</si>
  <si>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</si>
  <si>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</si>
  <si>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</si>
  <si>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</si>
  <si>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</si>
  <si>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</si>
  <si>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</si>
  <si>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</si>
  <si>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</si>
  <si>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</si>
  <si>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</si>
  <si>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</si>
  <si>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</si>
  <si>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</si>
  <si>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</si>
  <si>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</si>
  <si>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</si>
  <si>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</si>
  <si>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</si>
  <si>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</si>
  <si>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</si>
  <si>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</si>
  <si>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</si>
  <si>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</si>
  <si>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</si>
  <si>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</si>
  <si>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</si>
  <si>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</si>
  <si>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</si>
  <si>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</si>
  <si>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</si>
  <si>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</si>
  <si>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</si>
  <si>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</si>
  <si>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</si>
  <si>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</si>
  <si>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</si>
  <si>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</si>
  <si>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</si>
  <si>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</si>
  <si>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</si>
  <si>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</si>
  <si>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</si>
  <si>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</si>
  <si>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</si>
  <si>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</si>
  <si>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</si>
  <si>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</si>
  <si>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</si>
  <si>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</si>
  <si>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</si>
  <si>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</si>
  <si>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</si>
  <si>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</si>
  <si>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</si>
  <si>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</si>
  <si>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</si>
  <si>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</si>
  <si>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</si>
  <si>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</si>
  <si>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</si>
  <si>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</si>
  <si>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</si>
  <si>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</si>
  <si>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</si>
  <si>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</si>
  <si>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</si>
  <si>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</si>
  <si>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</si>
  <si>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</si>
  <si>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</si>
  <si>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</si>
  <si>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</si>
  <si>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</si>
  <si>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</si>
  <si>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</si>
  <si>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</si>
  <si>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</si>
  <si>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</si>
  <si>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</si>
  <si>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</si>
  <si>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</si>
  <si>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</si>
  <si>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</si>
  <si>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</si>
  <si>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</si>
  <si>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</si>
  <si>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</si>
  <si>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</si>
  <si>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</si>
  <si>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</si>
  <si>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</si>
  <si>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</si>
  <si>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</si>
  <si>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</si>
  <si>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</si>
  <si>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</si>
  <si>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</si>
  <si>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</si>
  <si>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</si>
  <si>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</si>
  <si>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</si>
  <si>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</si>
  <si>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</si>
  <si>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</si>
  <si>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</si>
  <si>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</si>
  <si>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</si>
  <si>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</si>
  <si>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</si>
  <si>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</si>
  <si>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</si>
  <si>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</si>
  <si>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</si>
  <si>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</si>
  <si>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</si>
  <si>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</si>
  <si>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</si>
  <si>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</si>
  <si>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</si>
  <si>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</si>
  <si>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</si>
  <si>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</si>
  <si>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</si>
  <si>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</si>
  <si>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</si>
  <si>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</si>
  <si>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</si>
  <si>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</si>
  <si>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</si>
  <si>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</si>
  <si>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</si>
  <si>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</si>
  <si>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</si>
  <si>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</si>
  <si>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</si>
  <si>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</si>
  <si>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</si>
  <si>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</si>
  <si>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</si>
  <si>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</si>
  <si>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</si>
  <si>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</si>
  <si>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</si>
  <si>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</si>
  <si>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</si>
  <si>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</si>
  <si>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</si>
  <si>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</si>
  <si>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</si>
  <si>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</si>
  <si>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</si>
  <si>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</si>
  <si>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</si>
  <si>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</si>
  <si>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</si>
  <si>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</si>
  <si>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</si>
  <si>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</si>
  <si>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</si>
  <si>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</si>
  <si>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</si>
  <si>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</si>
  <si>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</si>
  <si>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</si>
  <si>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</si>
  <si>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</si>
  <si>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</si>
  <si>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</si>
  <si>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</si>
  <si>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</si>
  <si>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</si>
  <si>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</si>
  <si>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</si>
  <si>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</si>
  <si>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</si>
  <si>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</si>
  <si>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</si>
  <si>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</si>
  <si>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</si>
  <si>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</si>
  <si>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</si>
  <si>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</si>
  <si>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</si>
  <si>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</si>
  <si>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</si>
  <si>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</si>
  <si>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</si>
  <si>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</si>
  <si>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</si>
  <si>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</si>
  <si>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</si>
  <si>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</si>
  <si>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</si>
  <si>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</si>
  <si>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</si>
  <si>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</si>
  <si>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</si>
  <si>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</si>
  <si>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</si>
  <si>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</si>
  <si>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</si>
  <si>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</si>
  <si>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</si>
  <si>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</si>
  <si>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</si>
  <si>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</si>
  <si>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</si>
  <si>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</si>
  <si>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</si>
  <si>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</si>
  <si>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</si>
  <si>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</si>
  <si>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</si>
  <si>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</si>
  <si>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</si>
  <si>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</si>
  <si>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</si>
  <si>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</si>
  <si>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</si>
  <si>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</si>
  <si>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</si>
  <si>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</si>
  <si>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</si>
  <si>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</si>
  <si>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</si>
  <si>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</si>
  <si>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</si>
  <si>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</si>
  <si>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</si>
  <si>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</si>
  <si>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</si>
  <si>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</si>
  <si>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</si>
  <si>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</si>
  <si>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</si>
  <si>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</si>
  <si>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</si>
  <si>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</si>
  <si>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</si>
  <si>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</si>
  <si>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</si>
  <si>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</si>
  <si>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</si>
  <si>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</si>
  <si>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</si>
  <si>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</si>
  <si>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</si>
  <si>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</si>
  <si>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</si>
  <si>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</si>
  <si>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</si>
  <si>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</si>
  <si>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</si>
  <si>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</si>
  <si>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</si>
  <si>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</si>
  <si>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</si>
  <si>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</si>
  <si>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</si>
  <si>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</si>
  <si>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</si>
  <si>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</si>
  <si>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</si>
  <si>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</si>
  <si>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</si>
  <si>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</si>
  <si>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</si>
  <si>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</si>
  <si>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</si>
  <si>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</si>
  <si>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</si>
  <si>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</si>
  <si>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</si>
  <si>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</si>
  <si>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</si>
  <si>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</si>
  <si>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</si>
  <si>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</si>
  <si>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</si>
  <si>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</si>
  <si>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</si>
  <si>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</si>
  <si>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</si>
  <si>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</si>
  <si>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</si>
  <si>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</si>
  <si>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</si>
  <si>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</si>
  <si>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</si>
  <si>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</si>
  <si>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</si>
  <si>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</si>
  <si>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</si>
  <si>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</si>
  <si>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</si>
  <si>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</si>
  <si>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</si>
  <si>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</si>
  <si>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</si>
  <si>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</si>
  <si>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</si>
  <si>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</si>
  <si>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</si>
  <si>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</si>
  <si>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</si>
  <si>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</si>
  <si>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</si>
  <si>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</si>
  <si>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</si>
  <si>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</si>
  <si>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</si>
  <si>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</si>
  <si>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</si>
  <si>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</si>
  <si>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</si>
  <si>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</si>
  <si>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</si>
  <si>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</si>
  <si>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</si>
  <si>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</si>
  <si>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</si>
  <si>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</si>
  <si>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</si>
  <si>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</si>
  <si>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</si>
  <si>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</si>
  <si>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</si>
  <si>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</si>
  <si>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</si>
  <si>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</si>
  <si>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</si>
  <si>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</si>
  <si>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</si>
  <si>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</si>
  <si>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</si>
  <si>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</si>
  <si>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</si>
  <si>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</si>
  <si>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</si>
  <si>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</si>
  <si>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</si>
  <si>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</si>
  <si>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</si>
  <si>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</si>
  <si>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</si>
  <si>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</si>
  <si>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</si>
  <si>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</si>
  <si>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</si>
  <si>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</si>
  <si>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</si>
  <si>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</si>
  <si>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</si>
  <si>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</si>
  <si>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</si>
  <si>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</si>
  <si>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</si>
  <si>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</si>
  <si>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</si>
  <si>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</si>
  <si>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</si>
  <si>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</si>
  <si>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</si>
  <si>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</si>
  <si>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</si>
  <si>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</si>
  <si>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</si>
  <si>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</si>
  <si>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</si>
  <si>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</si>
  <si>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</si>
  <si>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</si>
  <si>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</si>
  <si>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</si>
  <si>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</si>
  <si>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</si>
  <si>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</si>
  <si>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</si>
  <si>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</si>
  <si>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</si>
  <si>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</si>
  <si>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</si>
  <si>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</si>
  <si>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</si>
  <si>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</si>
  <si>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</si>
  <si>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</si>
  <si>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</si>
  <si>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</si>
  <si>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</si>
  <si>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</si>
  <si>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</si>
  <si>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</si>
  <si>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</si>
  <si>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</si>
  <si>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</si>
  <si>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</si>
  <si>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</si>
  <si>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</si>
  <si>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</si>
  <si>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</si>
  <si>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</si>
  <si>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</si>
  <si>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</si>
  <si>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</si>
  <si>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</si>
  <si>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</si>
  <si>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</si>
  <si>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</si>
  <si>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</si>
  <si>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</si>
  <si>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</si>
  <si>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</si>
  <si>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</si>
  <si>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</si>
  <si>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</si>
  <si>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</si>
  <si>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</si>
  <si>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</si>
  <si>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</si>
  <si>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</si>
  <si>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</si>
  <si>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</si>
  <si>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</si>
  <si>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</si>
  <si>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</si>
  <si>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</si>
  <si>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</si>
  <si>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</si>
  <si>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</si>
  <si>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</si>
  <si>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</si>
  <si>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</si>
  <si>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</si>
  <si>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</si>
  <si>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</si>
  <si>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</si>
  <si>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</si>
  <si>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</si>
  <si>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</si>
  <si>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</si>
  <si>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</si>
  <si>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</si>
  <si>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</si>
  <si>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</si>
  <si>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</si>
  <si>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</si>
  <si>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</si>
  <si>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</si>
  <si>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</si>
  <si>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</si>
  <si>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</si>
  <si>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</si>
  <si>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</si>
  <si>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</si>
  <si>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</si>
  <si>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</si>
  <si>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</si>
  <si>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</si>
  <si>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</si>
  <si>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</si>
  <si>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</si>
  <si>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</si>
  <si>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</si>
  <si>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</si>
  <si>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</si>
  <si>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</si>
  <si>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</si>
  <si>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</si>
  <si>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</si>
  <si>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</si>
  <si>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</si>
  <si>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</si>
  <si>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</si>
  <si>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</si>
  <si>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</si>
  <si>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</si>
  <si>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</si>
  <si>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</si>
  <si>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</si>
  <si>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</si>
  <si>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</si>
  <si>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</si>
  <si>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</si>
  <si>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</si>
  <si>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</si>
  <si>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</si>
  <si>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</si>
  <si>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</si>
  <si>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</si>
  <si>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</si>
  <si>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</si>
  <si>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</si>
  <si>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</si>
  <si>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</si>
  <si>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</si>
  <si>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</si>
  <si>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</si>
  <si>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</si>
  <si>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</si>
  <si>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</si>
  <si>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</si>
  <si>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</si>
  <si>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</si>
  <si>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</si>
  <si>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</si>
  <si>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</si>
  <si>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</si>
  <si>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</si>
  <si>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</si>
  <si>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</si>
  <si>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</si>
  <si>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</si>
  <si>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</si>
  <si>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</si>
  <si>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</si>
  <si>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</si>
  <si>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</si>
  <si>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</si>
  <si>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</si>
  <si>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</si>
  <si>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</si>
  <si>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</si>
  <si>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</si>
  <si>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</si>
  <si>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</si>
  <si>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</si>
  <si>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</si>
  <si>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</si>
  <si>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</si>
  <si>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</si>
  <si>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</si>
  <si>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</si>
  <si>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</si>
  <si>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</si>
  <si>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</si>
  <si>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</si>
  <si>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</si>
  <si>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</si>
  <si>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</si>
  <si>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</si>
  <si>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</si>
  <si>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</si>
  <si>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</si>
  <si>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</si>
  <si>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</si>
  <si>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</si>
  <si>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</si>
  <si>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</si>
  <si>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</si>
  <si>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</si>
  <si>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</si>
  <si>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</si>
  <si>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</si>
  <si>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</si>
  <si>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</si>
  <si>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</si>
  <si>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</si>
  <si>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</si>
  <si>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</si>
  <si>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</si>
  <si>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</si>
  <si>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</si>
  <si>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</si>
  <si>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</si>
  <si>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</si>
  <si>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</si>
  <si>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</si>
  <si>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</si>
  <si>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</si>
  <si>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</si>
  <si>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</si>
  <si>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</si>
  <si>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</si>
  <si>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</si>
  <si>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</si>
  <si>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</si>
  <si>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</si>
  <si>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</si>
  <si>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</si>
  <si>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</si>
  <si>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</si>
  <si>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</si>
  <si>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</si>
  <si>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</si>
  <si>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</si>
  <si>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</si>
  <si>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</si>
  <si>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</si>
  <si>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</si>
  <si>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</si>
  <si>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</si>
  <si>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</si>
  <si>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</si>
  <si>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</si>
  <si>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</si>
  <si>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</si>
  <si>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</si>
  <si>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</si>
  <si>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</si>
  <si>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</si>
  <si>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</si>
  <si>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</si>
  <si>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</si>
  <si>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</si>
  <si>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</si>
  <si>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</si>
  <si>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</si>
  <si>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</si>
  <si>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</si>
  <si>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</si>
  <si>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</si>
  <si>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</si>
  <si>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</si>
  <si>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</si>
  <si>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</si>
  <si>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</si>
  <si>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</si>
  <si>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</si>
  <si>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</si>
  <si>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</si>
  <si>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</si>
  <si>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</si>
  <si>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</si>
  <si>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</si>
  <si>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</si>
  <si>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</si>
  <si>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</si>
  <si>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</si>
  <si>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</si>
  <si>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</si>
  <si>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</si>
  <si>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</si>
  <si>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</si>
  <si>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</si>
  <si>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</si>
  <si>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</si>
  <si>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</si>
  <si>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</si>
  <si>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</si>
  <si>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</si>
  <si>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</si>
  <si>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</si>
  <si>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</si>
  <si>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</si>
  <si>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</si>
  <si>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</si>
  <si>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</si>
  <si>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</si>
  <si>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</si>
  <si>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</si>
  <si>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</si>
  <si>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</si>
  <si>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</si>
  <si>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</si>
  <si>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</si>
  <si>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</si>
  <si>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</si>
  <si>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</si>
  <si>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</si>
  <si>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</si>
  <si>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</si>
  <si>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</si>
  <si>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</si>
  <si>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</si>
  <si>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</si>
  <si>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</si>
  <si>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</si>
  <si>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</si>
  <si>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</si>
  <si>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</si>
  <si>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</si>
  <si>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</si>
  <si>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</si>
  <si>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</si>
  <si>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</si>
  <si>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</si>
  <si>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</si>
  <si>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</si>
  <si>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</si>
  <si>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</si>
  <si>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</si>
  <si>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</si>
  <si>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</si>
  <si>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</si>
  <si>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</si>
  <si>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</si>
  <si>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</si>
  <si>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</si>
  <si>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</si>
  <si>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</si>
  <si>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</si>
  <si>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</si>
  <si>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</si>
  <si>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</si>
  <si>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</si>
  <si>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</si>
  <si>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</si>
  <si>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</si>
  <si>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</si>
  <si>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</si>
  <si>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</si>
  <si>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</si>
  <si>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</si>
  <si>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</si>
  <si>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</si>
  <si>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</si>
  <si>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</si>
  <si>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</si>
  <si>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</si>
  <si>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</si>
  <si>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</si>
  <si>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</si>
  <si>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</si>
  <si>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</si>
  <si>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</si>
  <si>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</si>
  <si>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</si>
  <si>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</si>
  <si>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</si>
  <si>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</si>
  <si>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</si>
  <si>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</si>
  <si>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</si>
  <si>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</si>
  <si>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</si>
  <si>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</si>
  <si>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</si>
  <si>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</si>
  <si>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</si>
  <si>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</si>
  <si>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</si>
  <si>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</si>
  <si>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</si>
  <si>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</si>
  <si>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</si>
  <si>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</si>
  <si>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</si>
  <si>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</si>
  <si>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</si>
  <si>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</si>
  <si>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</si>
  <si>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</si>
  <si>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</si>
  <si>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</si>
  <si>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</si>
  <si>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</si>
  <si>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</si>
  <si>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</si>
  <si>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</si>
  <si>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</si>
  <si>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</si>
  <si>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</si>
  <si>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</si>
  <si>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</si>
  <si>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</si>
  <si>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</si>
  <si>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</si>
  <si>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</si>
  <si>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</si>
  <si>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</si>
  <si>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</si>
  <si>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</si>
  <si>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</si>
  <si>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</si>
  <si>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</si>
  <si>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</si>
  <si>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</si>
  <si>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</si>
  <si>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</si>
  <si>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</si>
  <si>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</si>
  <si>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</si>
  <si>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</si>
  <si>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</si>
  <si>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</si>
  <si>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</si>
  <si>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</si>
  <si>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</si>
  <si>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</si>
  <si>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</si>
  <si>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</si>
  <si>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</si>
  <si>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</si>
  <si>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</si>
  <si>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</si>
  <si>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</si>
  <si>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</si>
  <si>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</si>
  <si>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</si>
  <si>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</si>
  <si>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</si>
  <si>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</si>
  <si>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</si>
  <si>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</si>
  <si>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</si>
  <si>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</si>
  <si>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</si>
  <si>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</si>
  <si>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</si>
  <si>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</si>
  <si>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</si>
  <si>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</si>
  <si>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</si>
  <si>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</si>
  <si>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</si>
  <si>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</si>
  <si>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</si>
  <si>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</si>
  <si>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</si>
  <si>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</si>
  <si>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</si>
  <si>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</si>
  <si>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</si>
  <si>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</si>
  <si>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</si>
  <si>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</si>
  <si>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</si>
  <si>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</si>
  <si>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</si>
  <si>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</si>
  <si>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</si>
  <si>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</si>
  <si>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</si>
  <si>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</si>
  <si>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</si>
  <si>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</si>
  <si>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</si>
  <si>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</si>
  <si>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</si>
  <si>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</si>
  <si>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</si>
  <si>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</si>
  <si>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</si>
  <si>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</si>
  <si>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</si>
  <si>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</si>
  <si>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</si>
  <si>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</si>
  <si>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</si>
  <si>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</si>
  <si>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</si>
  <si>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</si>
  <si>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</si>
  <si>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</si>
  <si>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</si>
  <si>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</si>
  <si>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</si>
  <si>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</si>
  <si>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</si>
  <si>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</si>
  <si>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</si>
  <si>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</si>
  <si>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</si>
  <si>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</si>
  <si>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</si>
  <si>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</si>
  <si>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</si>
  <si>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</si>
  <si>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</si>
  <si>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</si>
  <si>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</si>
  <si>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</si>
  <si>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</si>
  <si>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</si>
  <si>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</si>
  <si>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</si>
  <si>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</si>
  <si>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</si>
  <si>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</si>
  <si>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</si>
  <si>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</si>
  <si>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</si>
  <si>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</si>
  <si>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</si>
  <si>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</si>
  <si>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</si>
  <si>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</si>
  <si>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</si>
  <si>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</si>
  <si>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</si>
  <si>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</si>
  <si>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</si>
  <si>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</si>
  <si>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</si>
  <si>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</si>
  <si>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</si>
  <si>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</si>
  <si>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</si>
  <si>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</si>
  <si>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</si>
  <si>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</si>
  <si>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</si>
  <si>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</si>
  <si>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</si>
  <si>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</si>
  <si>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</si>
  <si>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</si>
  <si>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</si>
  <si>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</si>
  <si>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</si>
  <si>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</si>
  <si>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</si>
  <si>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</si>
  <si>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</si>
  <si>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</si>
  <si>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</si>
  <si>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</si>
  <si>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</si>
  <si>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</si>
  <si>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</si>
  <si>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</si>
  <si>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</si>
  <si>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</si>
  <si>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</si>
  <si>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</si>
  <si>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</si>
  <si>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</si>
  <si>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</si>
  <si>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</si>
  <si>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</si>
  <si>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</si>
  <si>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</si>
  <si>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</si>
  <si>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</si>
  <si>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</si>
  <si>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</si>
  <si>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</si>
  <si>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</si>
  <si>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</si>
  <si>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</si>
  <si>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</si>
  <si>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</si>
  <si>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</si>
  <si>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</si>
  <si>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</si>
  <si>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</si>
  <si>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</si>
  <si>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</si>
  <si>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</si>
  <si>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</si>
  <si>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</si>
  <si>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</si>
  <si>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</si>
  <si>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</si>
  <si>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</si>
  <si>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</si>
  <si>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</si>
  <si>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</si>
  <si>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</si>
  <si>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</si>
  <si>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</si>
  <si>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</si>
  <si>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</si>
  <si>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</si>
  <si>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</si>
  <si>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</si>
  <si>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</si>
  <si>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</si>
  <si>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</si>
  <si>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</si>
  <si>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</si>
  <si>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</si>
  <si>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</si>
  <si>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</si>
  <si>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</si>
  <si>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</si>
  <si>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</si>
  <si>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</si>
  <si>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</si>
  <si>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</si>
  <si>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</si>
  <si>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</si>
  <si>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</si>
  <si>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</si>
  <si>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</si>
  <si>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</si>
  <si>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</si>
  <si>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</si>
  <si>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</si>
  <si>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</si>
  <si>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</si>
  <si>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</si>
  <si>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</si>
  <si>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</si>
  <si>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</si>
  <si>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</si>
  <si>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</si>
  <si>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</si>
  <si>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</si>
  <si>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</si>
  <si>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</si>
  <si>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</si>
  <si>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</si>
  <si>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</si>
  <si>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</si>
  <si>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</si>
  <si>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</si>
  <si>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</si>
  <si>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</si>
  <si>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</si>
  <si>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</si>
  <si>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</si>
  <si>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</si>
  <si>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</si>
  <si>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</si>
  <si>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</si>
  <si>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</si>
  <si>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</si>
  <si>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</si>
  <si>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</si>
  <si>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</si>
  <si>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</si>
  <si>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</si>
  <si>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</si>
  <si>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</si>
  <si>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</si>
  <si>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</si>
  <si>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</si>
  <si>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</si>
  <si>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</si>
  <si>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</si>
  <si>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</si>
  <si>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</si>
  <si>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</si>
  <si>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</si>
  <si>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</si>
  <si>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</si>
  <si>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</si>
  <si>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</si>
  <si>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</si>
  <si>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</si>
  <si>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</si>
  <si>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</si>
  <si>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</si>
  <si>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</si>
  <si>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</si>
  <si>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</si>
  <si>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</si>
  <si>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</si>
  <si>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</si>
  <si>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</si>
  <si>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</si>
  <si>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</si>
  <si>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</si>
  <si>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</si>
  <si>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</si>
  <si>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</si>
  <si>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</si>
  <si>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</si>
  <si>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</si>
  <si>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</si>
  <si>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</si>
  <si>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</si>
  <si>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</si>
  <si>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</si>
  <si>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</si>
  <si>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</si>
  <si>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</si>
  <si>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</si>
  <si>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</si>
  <si>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</si>
  <si>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</si>
  <si>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</si>
  <si>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</si>
  <si>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</si>
  <si>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</si>
  <si>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</si>
  <si>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</si>
  <si>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</si>
  <si>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</si>
  <si>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</si>
  <si>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</si>
  <si>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</si>
  <si>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</si>
  <si>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</si>
  <si>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</si>
  <si>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</si>
  <si>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</si>
  <si>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</si>
  <si>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</si>
  <si>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</si>
  <si>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</si>
  <si>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</si>
  <si>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</si>
  <si>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</si>
  <si>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</si>
  <si>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</si>
  <si>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</si>
  <si>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</si>
  <si>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</si>
  <si>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</si>
  <si>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</si>
  <si>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</si>
  <si>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</si>
  <si>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</si>
  <si>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</si>
  <si>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</si>
  <si>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</si>
  <si>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</si>
  <si>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</si>
  <si>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</si>
  <si>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</si>
  <si>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</si>
  <si>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</si>
  <si>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</si>
  <si>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</si>
  <si>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</si>
  <si>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</si>
  <si>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</si>
  <si>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</si>
  <si>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</si>
  <si>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</si>
  <si>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</si>
  <si>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</si>
  <si>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</si>
  <si>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</si>
  <si>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</si>
  <si>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</si>
  <si>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</si>
  <si>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</si>
  <si>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</si>
  <si>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</si>
  <si>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</si>
  <si>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</si>
  <si>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</si>
  <si>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</si>
  <si>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</si>
  <si>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</si>
  <si>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</si>
  <si>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</si>
  <si>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</si>
  <si>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</si>
  <si>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</si>
  <si>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</si>
  <si>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</si>
  <si>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</si>
  <si>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</si>
  <si>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</si>
  <si>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</si>
  <si>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</si>
  <si>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</si>
  <si>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</si>
  <si>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</si>
  <si>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</si>
  <si>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</si>
  <si>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</si>
  <si>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</si>
  <si>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</si>
  <si>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</si>
  <si>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</si>
  <si>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</si>
  <si>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</si>
  <si>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</si>
  <si>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</si>
  <si>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</si>
  <si>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</si>
  <si>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</si>
  <si>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</si>
  <si>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</si>
  <si>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</si>
  <si>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</si>
  <si>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</si>
  <si>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</si>
  <si>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</si>
  <si>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</si>
  <si>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</si>
  <si>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</si>
  <si>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</si>
  <si>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</si>
  <si>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</si>
  <si>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</si>
  <si>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</si>
  <si>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</si>
  <si>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</si>
  <si>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</si>
  <si>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</si>
  <si>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</si>
  <si>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</si>
  <si>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</si>
  <si>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</si>
  <si>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</si>
  <si>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</si>
  <si>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</si>
  <si>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</si>
  <si>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</si>
  <si>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</si>
  <si>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</si>
  <si>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</si>
  <si>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</si>
  <si>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</si>
  <si>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</si>
  <si>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</si>
  <si>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</si>
  <si>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</si>
  <si>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</si>
  <si>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</si>
  <si>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</si>
  <si>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</si>
  <si>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</si>
  <si>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</si>
  <si>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</si>
  <si>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</si>
  <si>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</si>
  <si>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</si>
  <si>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</si>
  <si>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</si>
  <si>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</si>
  <si>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</si>
  <si>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</si>
  <si>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</si>
  <si>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</si>
  <si>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</si>
  <si>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</si>
  <si>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</si>
  <si>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</si>
  <si>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</si>
  <si>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</si>
  <si>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</si>
  <si>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</si>
  <si>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</si>
  <si>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</si>
  <si>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</si>
  <si>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</si>
  <si>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</si>
  <si>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</si>
  <si>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</si>
  <si>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</si>
  <si>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</si>
  <si>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</si>
  <si>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</si>
  <si>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</si>
  <si>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</si>
  <si>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</si>
  <si>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</si>
  <si>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</si>
  <si>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</si>
  <si>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</si>
  <si>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</si>
  <si>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</si>
  <si>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</si>
  <si>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</si>
  <si>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</si>
  <si>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</si>
  <si>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</si>
  <si>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</si>
  <si>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</si>
  <si>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</si>
  <si>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</si>
  <si>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</si>
  <si>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</si>
  <si>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</si>
  <si>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</si>
  <si>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</si>
  <si>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</si>
  <si>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</si>
  <si>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</si>
  <si>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</si>
  <si>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</si>
  <si>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</si>
  <si>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</si>
  <si>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</si>
  <si>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</si>
  <si>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</si>
  <si>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</si>
  <si>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</si>
  <si>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</si>
  <si>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</si>
  <si>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</si>
  <si>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</si>
  <si>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</si>
  <si>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</si>
  <si>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</si>
  <si>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</si>
  <si>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</si>
  <si>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</si>
  <si>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</si>
  <si>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</si>
  <si>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</si>
  <si>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</si>
  <si>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</si>
  <si>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</si>
  <si>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</si>
  <si>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</si>
  <si>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</si>
  <si>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</si>
  <si>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</si>
  <si>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</si>
  <si>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</si>
  <si>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</si>
  <si>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</si>
  <si>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</si>
  <si>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</si>
  <si>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</si>
  <si>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</si>
  <si>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</si>
  <si>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</si>
  <si>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</si>
  <si>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</si>
  <si>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</si>
  <si>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</si>
  <si>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</si>
  <si>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</si>
  <si>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</si>
  <si>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</si>
  <si>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</si>
  <si>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</si>
  <si>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</si>
  <si>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</si>
  <si>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</si>
  <si>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</si>
  <si>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</si>
  <si>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</si>
  <si>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</si>
  <si>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</si>
  <si>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</si>
  <si>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</si>
  <si>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</si>
  <si>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</si>
  <si>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</si>
  <si>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</si>
  <si>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</si>
  <si>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</si>
  <si>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</si>
  <si>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</si>
  <si>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</si>
  <si>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</si>
  <si>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</si>
  <si>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</si>
  <si>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</si>
  <si>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</si>
  <si>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</si>
  <si>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</si>
  <si>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</si>
  <si>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</si>
  <si>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</si>
  <si>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</si>
  <si>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</si>
  <si>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</si>
  <si>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</si>
  <si>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</si>
  <si>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</si>
  <si>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</si>
  <si>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</si>
  <si>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</si>
  <si>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</si>
  <si>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</si>
  <si>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</si>
  <si>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</si>
  <si>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</si>
  <si>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</si>
  <si>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</si>
  <si>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</si>
  <si>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</si>
  <si>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</si>
  <si>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</si>
  <si>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</si>
  <si>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</si>
  <si>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</si>
  <si>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</si>
  <si>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</si>
  <si>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</si>
  <si>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</si>
  <si>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</si>
  <si>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</si>
  <si>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</si>
  <si>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</si>
  <si>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</si>
  <si>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</si>
  <si>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</si>
  <si>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</si>
  <si>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</si>
  <si>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</si>
  <si>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</si>
  <si>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</si>
  <si>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</si>
  <si>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</si>
  <si>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</si>
  <si>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</si>
  <si>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</si>
  <si>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</si>
  <si>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</si>
  <si>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</si>
  <si>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</si>
  <si>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</si>
  <si>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</si>
  <si>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</si>
  <si>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</si>
  <si>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</si>
  <si>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</si>
  <si>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</si>
  <si>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</si>
  <si>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</si>
  <si>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</si>
  <si>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</si>
  <si>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</si>
  <si>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</si>
  <si>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</si>
  <si>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</si>
  <si>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</si>
  <si>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</si>
  <si>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</si>
  <si>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</si>
  <si>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</si>
  <si>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</si>
  <si>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</si>
  <si>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</si>
  <si>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</si>
  <si>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</si>
  <si>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</si>
  <si>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</si>
  <si>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</si>
  <si>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</si>
  <si>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</si>
  <si>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</si>
  <si>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</si>
  <si>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</si>
  <si>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</si>
  <si>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</si>
  <si>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</si>
  <si>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</si>
  <si>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</si>
  <si>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</si>
  <si>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</si>
  <si>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</si>
  <si>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</si>
  <si>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</si>
  <si>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</si>
  <si>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</si>
  <si>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</si>
  <si>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</si>
  <si>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</si>
  <si>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</si>
  <si>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</si>
  <si>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</si>
  <si>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</si>
  <si>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</si>
  <si>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</si>
  <si>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</si>
  <si>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</si>
  <si>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</si>
  <si>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</si>
  <si>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</si>
  <si>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</si>
  <si>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</si>
  <si>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</si>
  <si>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</si>
  <si>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</si>
  <si>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</si>
  <si>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</si>
  <si>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</si>
  <si>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</si>
  <si>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</si>
  <si>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</si>
  <si>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</si>
  <si>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</si>
  <si>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</si>
  <si>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</si>
  <si>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</si>
  <si>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</si>
  <si>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</si>
  <si>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</si>
  <si>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</si>
  <si>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</si>
  <si>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</si>
  <si>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</si>
  <si>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</si>
  <si>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</si>
  <si>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</si>
  <si>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</si>
  <si>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</si>
  <si>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</si>
  <si>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</si>
  <si>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</si>
  <si>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</si>
  <si>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</si>
  <si>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</si>
  <si>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</si>
  <si>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</si>
  <si>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</si>
  <si>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</si>
  <si>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</si>
  <si>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</si>
  <si>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</si>
  <si>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</si>
  <si>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</si>
  <si>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</si>
  <si>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</si>
  <si>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</si>
  <si>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</si>
  <si>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</si>
  <si>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</si>
  <si>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</si>
  <si>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</si>
  <si>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</si>
  <si>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</si>
  <si>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</si>
  <si>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</si>
  <si>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</si>
  <si>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</si>
  <si>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</si>
  <si>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</si>
  <si>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</si>
  <si>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</si>
  <si>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</si>
  <si>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</si>
  <si>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</si>
  <si>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</si>
  <si>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</si>
  <si>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</si>
  <si>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</si>
  <si>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</si>
  <si>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</si>
  <si>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</si>
  <si>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</si>
  <si>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</si>
  <si>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</si>
  <si>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</si>
  <si>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</si>
  <si>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</si>
  <si>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</si>
  <si>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</si>
  <si>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</si>
  <si>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</si>
  <si>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</si>
  <si>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</si>
  <si>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</si>
  <si>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</si>
  <si>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</si>
  <si>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</si>
  <si>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</si>
  <si>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</si>
  <si>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</si>
  <si>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</si>
  <si>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</si>
  <si>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</si>
  <si>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</si>
  <si>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</si>
  <si>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</si>
  <si>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</si>
  <si>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</si>
  <si>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</si>
  <si>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</si>
  <si>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</si>
  <si>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</si>
  <si>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</si>
  <si>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</si>
  <si>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</si>
  <si>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</si>
  <si>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</si>
  <si>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</si>
  <si>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</si>
  <si>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</si>
  <si>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</si>
  <si>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</si>
  <si>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</si>
  <si>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</si>
  <si>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</si>
  <si>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</si>
  <si>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</si>
  <si>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</si>
  <si>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</si>
  <si>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</si>
  <si>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</si>
  <si>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</si>
  <si>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</si>
  <si>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</si>
  <si>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</si>
  <si>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</si>
  <si>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</si>
  <si>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</si>
  <si>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</si>
  <si>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</si>
  <si>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</si>
  <si>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</si>
  <si>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</si>
  <si>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</si>
  <si>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</si>
  <si>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</si>
  <si>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</si>
  <si>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</si>
  <si>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</si>
  <si>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</si>
  <si>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</si>
  <si>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</si>
  <si>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</si>
  <si>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</si>
  <si>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</si>
  <si>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</si>
  <si>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</si>
  <si>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</si>
  <si>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</si>
  <si>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</si>
  <si>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</si>
  <si>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</si>
  <si>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</si>
  <si>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</si>
  <si>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</si>
  <si>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</si>
  <si>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</si>
  <si>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</si>
  <si>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</si>
  <si>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</si>
  <si>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</si>
  <si>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</si>
  <si>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</si>
  <si>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</si>
  <si>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</si>
  <si>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</si>
  <si>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</si>
  <si>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</si>
  <si>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</si>
  <si>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</si>
  <si>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</si>
  <si>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</si>
  <si>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</si>
  <si>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</si>
  <si>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</si>
  <si>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</si>
  <si>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</si>
  <si>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</si>
  <si>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</si>
  <si>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</si>
  <si>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</si>
  <si>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</si>
  <si>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</si>
  <si>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</si>
  <si>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</si>
  <si>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</si>
  <si>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</si>
  <si>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</si>
  <si>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</si>
  <si>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</si>
  <si>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</si>
  <si>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</si>
  <si>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</si>
  <si>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</si>
  <si>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</si>
  <si>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</si>
  <si>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</si>
  <si>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</si>
  <si>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</si>
  <si>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</si>
  <si>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</si>
  <si>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</si>
  <si>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</si>
  <si>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</si>
  <si>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</si>
  <si>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</si>
  <si>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</si>
  <si>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</si>
  <si>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</si>
  <si>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</si>
  <si>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</si>
  <si>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</si>
  <si>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</si>
  <si>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</si>
  <si>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</si>
  <si>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</si>
  <si>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</si>
  <si>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</si>
  <si>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</si>
  <si>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</si>
  <si>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</si>
  <si>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</si>
  <si>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</si>
  <si>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</si>
  <si>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</si>
  <si>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</si>
  <si>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</si>
  <si>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</si>
  <si>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</si>
  <si>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</si>
  <si>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</si>
  <si>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</si>
  <si>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</si>
  <si>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</si>
  <si>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</si>
  <si>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</si>
  <si>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</si>
  <si>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</si>
  <si>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</si>
  <si>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</si>
  <si>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</si>
  <si>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</si>
  <si>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</si>
  <si>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</si>
  <si>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</si>
  <si>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</si>
  <si>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</si>
  <si>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</si>
  <si>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</si>
  <si>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</si>
  <si>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</si>
  <si>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</si>
  <si>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</si>
  <si>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</si>
  <si>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</si>
  <si>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</si>
  <si>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</si>
  <si>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</si>
  <si>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</si>
  <si>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</si>
  <si>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</si>
  <si>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</si>
  <si>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</si>
  <si>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</si>
  <si>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</si>
  <si>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</si>
  <si>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</si>
  <si>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</si>
  <si>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</si>
  <si>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</si>
  <si>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</si>
  <si>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</si>
  <si>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</si>
  <si>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</si>
  <si>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</si>
  <si>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</si>
  <si>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</si>
  <si>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</si>
  <si>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</si>
  <si>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</si>
  <si>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</si>
  <si>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</si>
  <si>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</si>
  <si>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</si>
  <si>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</si>
  <si>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</si>
  <si>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</si>
  <si>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</si>
  <si>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</si>
  <si>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</si>
  <si>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</si>
  <si>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</si>
  <si>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</si>
  <si>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</si>
  <si>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</si>
  <si>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</si>
  <si>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</si>
  <si>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</si>
  <si>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</si>
  <si>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</si>
  <si>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</si>
  <si>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</si>
  <si>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</si>
  <si>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</si>
  <si>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</si>
  <si>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</si>
  <si>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</si>
  <si>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</si>
  <si>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</si>
  <si>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</si>
  <si>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</si>
  <si>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</si>
  <si>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</si>
  <si>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</si>
  <si>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</si>
  <si>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</si>
  <si>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</si>
  <si>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</si>
  <si>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</si>
  <si>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</si>
  <si>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</si>
  <si>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</si>
  <si>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</si>
  <si>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</si>
  <si>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</si>
  <si>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</si>
  <si>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</si>
  <si>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</si>
  <si>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</si>
  <si>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</si>
  <si>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</si>
  <si>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</si>
  <si>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</si>
  <si>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</si>
  <si>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</si>
  <si>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</si>
  <si>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</si>
  <si>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</si>
  <si>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</si>
  <si>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</si>
  <si>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</si>
  <si>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</si>
  <si>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</si>
  <si>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</si>
  <si>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</si>
  <si>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</si>
  <si>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</si>
  <si>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</si>
  <si>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</si>
  <si>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</si>
  <si>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</si>
  <si>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</si>
  <si>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</si>
  <si>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</si>
  <si>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</si>
  <si>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</si>
  <si>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</si>
  <si>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</si>
  <si>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</si>
  <si>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</si>
  <si>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</si>
  <si>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</si>
  <si>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</si>
  <si>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</si>
  <si>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</si>
  <si>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</si>
  <si>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</si>
  <si>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</si>
  <si>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</si>
  <si>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</si>
  <si>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</si>
  <si>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</si>
  <si>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</si>
  <si>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</si>
  <si>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</si>
  <si>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</si>
  <si>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</si>
  <si>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</si>
  <si>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</si>
  <si>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</si>
  <si>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</si>
  <si>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</si>
  <si>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</si>
  <si>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</si>
  <si>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</si>
  <si>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</si>
  <si>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</si>
  <si>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</si>
  <si>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</si>
  <si>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</si>
  <si>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</si>
  <si>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</si>
  <si>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</si>
  <si>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</si>
  <si>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</si>
  <si>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</si>
  <si>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</si>
  <si>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</si>
  <si>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</si>
  <si>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</si>
  <si>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</si>
  <si>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</si>
  <si>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</si>
  <si>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</si>
  <si>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</si>
  <si>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</si>
  <si>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</si>
  <si>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</si>
  <si>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</si>
  <si>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</si>
  <si>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</si>
  <si>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</si>
  <si>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</si>
  <si>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</si>
  <si>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</si>
  <si>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</si>
  <si>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</si>
  <si>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</si>
  <si>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</si>
  <si>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</si>
  <si>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</si>
  <si>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</si>
  <si>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</si>
  <si>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</si>
  <si>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</si>
  <si>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</si>
  <si>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</si>
  <si>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</si>
  <si>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</si>
  <si>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</si>
  <si>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</si>
  <si>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</si>
  <si>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</si>
  <si>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</si>
  <si>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</si>
  <si>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</si>
  <si>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</si>
  <si>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</si>
  <si>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</si>
  <si>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</si>
  <si>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</si>
  <si>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</si>
  <si>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</si>
  <si>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</si>
  <si>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</si>
  <si>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</si>
  <si>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</si>
  <si>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</si>
  <si>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</si>
  <si>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</si>
  <si>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</si>
  <si>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</si>
  <si>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</si>
  <si>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</si>
  <si>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</si>
  <si>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</si>
  <si>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</si>
  <si>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</si>
  <si>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</si>
  <si>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</si>
  <si>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</si>
  <si>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</si>
  <si>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</si>
  <si>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</si>
  <si>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</si>
  <si>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</si>
  <si>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</si>
  <si>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</si>
  <si>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</si>
  <si>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</si>
  <si>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</si>
  <si>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</si>
  <si>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</si>
  <si>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</si>
  <si>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</si>
  <si>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</si>
  <si>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</si>
  <si>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</si>
  <si>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</si>
  <si>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</si>
  <si>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</si>
  <si>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</si>
  <si>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</si>
  <si>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</si>
  <si>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</si>
  <si>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</si>
  <si>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</si>
  <si>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</si>
  <si>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</si>
  <si>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</si>
  <si>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</si>
  <si>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</si>
  <si>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</si>
  <si>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</si>
  <si>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</si>
  <si>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</si>
  <si>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</si>
  <si>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</si>
  <si>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</si>
  <si>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</si>
  <si>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</si>
  <si>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</si>
  <si>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</si>
  <si>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</si>
  <si>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</si>
  <si>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</si>
  <si>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</si>
  <si>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</si>
  <si>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</si>
  <si>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</si>
  <si>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</si>
  <si>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</si>
  <si>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</si>
  <si>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</si>
  <si>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</si>
  <si>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</si>
  <si>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</si>
  <si>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</si>
  <si>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</si>
  <si>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</si>
  <si>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</si>
  <si>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</si>
  <si>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</si>
  <si>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</si>
  <si>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</si>
  <si>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</si>
  <si>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</si>
  <si>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</si>
  <si>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</si>
  <si>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</si>
  <si>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</si>
  <si>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</si>
  <si>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</si>
  <si>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</si>
  <si>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</si>
  <si>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</si>
  <si>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</si>
  <si>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</si>
  <si>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</si>
  <si>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</si>
  <si>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</si>
  <si>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</si>
  <si>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</si>
  <si>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</si>
  <si>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</si>
  <si>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</si>
  <si>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</si>
  <si>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</si>
  <si>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</si>
  <si>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</si>
  <si>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</si>
  <si>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</si>
  <si>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</si>
  <si>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</si>
  <si>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</si>
  <si>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</si>
  <si>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</si>
  <si>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</si>
  <si>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</si>
  <si>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</si>
  <si>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</si>
  <si>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</si>
  <si>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</si>
  <si>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</si>
  <si>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</si>
  <si>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</si>
  <si>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</si>
  <si>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</si>
  <si>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</si>
  <si>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</si>
  <si>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</si>
  <si>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</si>
  <si>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</si>
  <si>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</si>
  <si>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</si>
  <si>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</si>
  <si>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</si>
  <si>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</si>
  <si>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</si>
  <si>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</si>
  <si>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</si>
  <si>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</si>
  <si>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</si>
  <si>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</si>
  <si>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</si>
  <si>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</si>
  <si>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</si>
  <si>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</si>
  <si>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</si>
  <si>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</si>
  <si>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</si>
  <si>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</si>
  <si>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</si>
  <si>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</si>
  <si>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</si>
  <si>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</si>
  <si>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</si>
  <si>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</si>
  <si>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</si>
  <si>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</si>
  <si>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</si>
  <si>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</si>
  <si>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</si>
  <si>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</si>
  <si>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</si>
  <si>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</si>
  <si>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</si>
  <si>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</si>
  <si>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</si>
  <si>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</si>
  <si>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</si>
  <si>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</si>
  <si>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</si>
  <si>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</si>
  <si>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</si>
  <si>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</si>
  <si>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</si>
  <si>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</si>
  <si>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</si>
  <si>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</si>
  <si>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</si>
  <si>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</si>
  <si>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</si>
  <si>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</si>
  <si>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</si>
  <si>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</si>
  <si>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</si>
  <si>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</si>
  <si>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</si>
  <si>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</si>
  <si>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</si>
  <si>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</si>
  <si>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</si>
  <si>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</si>
  <si>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</si>
  <si>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</si>
  <si>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</si>
  <si>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</si>
  <si>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</si>
  <si>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</si>
  <si>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</si>
  <si>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</si>
  <si>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</si>
  <si>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</si>
  <si>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</si>
  <si>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</si>
  <si>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</si>
  <si>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</si>
  <si>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</si>
  <si>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</si>
  <si>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</si>
  <si>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</si>
  <si>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</si>
  <si>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</si>
  <si>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</si>
  <si>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</si>
  <si>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</si>
  <si>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</si>
  <si>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</si>
  <si>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</si>
  <si>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</si>
  <si>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</si>
  <si>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</si>
  <si>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</si>
  <si>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</si>
  <si>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</si>
  <si>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</si>
  <si>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</si>
  <si>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</si>
  <si>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</si>
  <si>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</si>
  <si>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</si>
  <si>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</si>
  <si>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</si>
  <si>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</si>
  <si>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</si>
  <si>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</si>
  <si>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</si>
  <si>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</si>
  <si>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</si>
  <si>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</si>
  <si>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</si>
  <si>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</si>
  <si>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</si>
  <si>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</si>
  <si>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</si>
  <si>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</si>
  <si>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</si>
  <si>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</si>
  <si>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</si>
  <si>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</si>
  <si>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</si>
  <si>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</si>
  <si>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</si>
  <si>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</si>
  <si>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</si>
  <si>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</si>
  <si>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</si>
  <si>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</si>
  <si>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</si>
  <si>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</si>
  <si>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</si>
  <si>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</si>
  <si>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</si>
  <si>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</si>
  <si>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</si>
  <si>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</si>
  <si>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</si>
  <si>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</si>
  <si>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</si>
  <si>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</si>
  <si>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</si>
  <si>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</si>
  <si>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</si>
  <si>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</si>
  <si>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</si>
  <si>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</si>
  <si>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</si>
  <si>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</si>
  <si>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</si>
  <si>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</si>
  <si>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</si>
  <si>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</si>
  <si>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</si>
  <si>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</si>
  <si>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</si>
  <si>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</si>
  <si>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</si>
  <si>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</si>
  <si>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</si>
  <si>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</si>
  <si>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</si>
  <si>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</si>
  <si>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</si>
  <si>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</si>
  <si>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</si>
  <si>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</si>
  <si>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</si>
  <si>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</si>
  <si>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</si>
  <si>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</si>
  <si>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</si>
  <si>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</si>
  <si>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</si>
  <si>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</si>
  <si>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</si>
  <si>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</si>
  <si>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</si>
  <si>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</si>
  <si>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</si>
  <si>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</si>
  <si>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</si>
  <si>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</si>
  <si>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</si>
  <si>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</si>
  <si>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</si>
  <si>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</si>
  <si>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</si>
  <si>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</si>
  <si>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</si>
  <si>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</si>
  <si>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</si>
  <si>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</si>
  <si>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</si>
  <si>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</si>
  <si>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</si>
  <si>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</si>
  <si>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</si>
  <si>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</si>
  <si>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</si>
  <si>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</si>
  <si>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</si>
  <si>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</si>
  <si>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</si>
  <si>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</si>
  <si>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</si>
  <si>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</si>
  <si>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</si>
  <si>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</si>
  <si>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</si>
  <si>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</si>
  <si>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</si>
  <si>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</si>
  <si>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</si>
  <si>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</si>
  <si>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</si>
  <si>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</si>
  <si>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</si>
  <si>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</si>
  <si>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</si>
  <si>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</si>
  <si>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</si>
  <si>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</si>
  <si>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</si>
  <si>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</si>
  <si>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</si>
  <si>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</si>
  <si>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</si>
  <si>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</si>
  <si>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</si>
  <si>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</si>
  <si>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</si>
  <si>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</si>
  <si>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</si>
  <si>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</si>
  <si>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</si>
  <si>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</si>
  <si>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</si>
  <si>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</si>
  <si>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</si>
  <si>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</si>
  <si>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</si>
  <si>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</si>
  <si>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</si>
  <si>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</si>
  <si>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</si>
  <si>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</si>
  <si>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</si>
  <si>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</si>
  <si>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</si>
  <si>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</si>
  <si>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</si>
  <si>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</si>
  <si>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</si>
  <si>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</si>
  <si>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</si>
  <si>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</si>
  <si>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</si>
  <si>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</si>
  <si>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</si>
  <si>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</si>
  <si>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</si>
  <si>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</si>
  <si>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</si>
  <si>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</si>
  <si>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</si>
  <si>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</si>
  <si>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</si>
  <si>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</si>
  <si>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</si>
  <si>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</si>
  <si>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</si>
  <si>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</si>
  <si>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</si>
  <si>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</si>
  <si>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</si>
  <si>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</si>
  <si>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</si>
  <si>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</si>
  <si>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</si>
  <si>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</si>
  <si>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</si>
  <si>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</si>
  <si>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</si>
  <si>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</si>
  <si>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</si>
  <si>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</si>
  <si>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</si>
  <si>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</si>
  <si>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</si>
  <si>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</si>
  <si>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</si>
  <si>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</si>
  <si>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</si>
  <si>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</si>
  <si>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</si>
  <si>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</si>
  <si>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</si>
  <si>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</si>
  <si>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</si>
  <si>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</si>
  <si>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</si>
  <si>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</si>
  <si>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</si>
  <si>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</si>
  <si>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</si>
  <si>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</si>
  <si>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</si>
  <si>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</si>
  <si>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</si>
  <si>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</si>
  <si>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</si>
  <si>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</si>
  <si>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</si>
  <si>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</si>
  <si>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</si>
  <si>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</si>
  <si>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</si>
  <si>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</si>
  <si>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</si>
  <si>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</si>
  <si>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</si>
  <si>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</si>
  <si>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</si>
  <si>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</si>
  <si>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</si>
  <si>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</si>
  <si>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</si>
  <si>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</si>
  <si>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</si>
  <si>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</si>
  <si>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</si>
  <si>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</si>
  <si>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</si>
  <si>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</si>
  <si>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</si>
  <si>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</si>
  <si>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</si>
  <si>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</si>
  <si>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</si>
  <si>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</si>
  <si>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</si>
  <si>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</si>
  <si>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</si>
  <si>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</si>
  <si>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</si>
  <si>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</si>
  <si>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</si>
  <si>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</si>
  <si>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</si>
  <si>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</si>
  <si>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</si>
  <si>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</si>
  <si>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</si>
  <si>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</si>
  <si>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</si>
  <si>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</si>
  <si>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</si>
  <si>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</si>
  <si>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</si>
  <si>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</si>
  <si>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</si>
  <si>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</si>
  <si>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</si>
  <si>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</si>
  <si>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</si>
  <si>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</si>
  <si>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</si>
  <si>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</si>
  <si>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</si>
  <si>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</si>
  <si>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</si>
  <si>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</si>
  <si>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</si>
  <si>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</si>
  <si>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</si>
  <si>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</si>
  <si>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</si>
  <si>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</si>
  <si>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</si>
  <si>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</si>
  <si>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</si>
  <si>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</si>
  <si>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</si>
  <si>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</si>
  <si>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</si>
  <si>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</si>
  <si>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</si>
  <si>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</si>
  <si>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</si>
  <si>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</si>
  <si>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</si>
  <si>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</si>
  <si>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</si>
  <si>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</si>
  <si>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</si>
  <si>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</si>
  <si>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</si>
  <si>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</si>
  <si>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</si>
  <si>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</si>
  <si>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</si>
  <si>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</si>
  <si>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</si>
  <si>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</si>
  <si>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</si>
  <si>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</si>
  <si>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</si>
  <si>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</si>
  <si>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</si>
  <si>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</si>
  <si>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</si>
  <si>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</si>
  <si>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</si>
  <si>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</si>
  <si>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</si>
  <si>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</si>
  <si>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</si>
  <si>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</si>
  <si>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</si>
  <si>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</si>
  <si>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</si>
  <si>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</si>
  <si>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</si>
  <si>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</si>
  <si>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</si>
  <si>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</si>
  <si>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</si>
  <si>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</si>
  <si>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</si>
  <si>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</si>
  <si>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</si>
  <si>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</si>
  <si>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</si>
  <si>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</si>
  <si>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</si>
  <si>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</si>
  <si>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</si>
  <si>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</si>
  <si>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</si>
  <si>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</si>
  <si>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</si>
  <si>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</si>
  <si>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</si>
  <si>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</si>
  <si>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</si>
  <si>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</si>
  <si>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</si>
  <si>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</si>
  <si>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</si>
  <si>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</si>
  <si>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</si>
  <si>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</si>
  <si>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</si>
  <si>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</si>
  <si>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</si>
  <si>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</si>
  <si>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</si>
  <si>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</si>
  <si>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</si>
  <si>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</si>
  <si>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</si>
  <si>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</si>
  <si>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</si>
  <si>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</si>
  <si>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</si>
  <si>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</si>
  <si>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</si>
  <si>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</si>
  <si>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</si>
  <si>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</si>
  <si>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</si>
  <si>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</si>
  <si>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</si>
  <si>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</si>
  <si>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</si>
  <si>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</si>
  <si>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</si>
  <si>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</si>
  <si>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</si>
  <si>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</si>
  <si>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</si>
  <si>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</si>
  <si>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</si>
  <si>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</si>
  <si>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</si>
  <si>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</si>
  <si>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</si>
  <si>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</si>
  <si>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</si>
  <si>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</si>
  <si>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</si>
  <si>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</si>
  <si>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</si>
  <si>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</si>
  <si>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</si>
  <si>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</si>
  <si>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</si>
  <si>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</si>
  <si>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</si>
  <si>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</si>
  <si>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</si>
  <si>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</si>
  <si>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</si>
  <si>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</si>
  <si>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</si>
  <si>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</si>
  <si>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</si>
  <si>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</si>
  <si>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</si>
  <si>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</si>
  <si>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</si>
  <si>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</si>
  <si>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</si>
  <si>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</si>
  <si>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</si>
  <si>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</si>
  <si>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</si>
  <si>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</si>
  <si>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</si>
  <si>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</si>
  <si>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</si>
  <si>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</si>
  <si>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</si>
  <si>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</si>
  <si>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</si>
  <si>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</si>
  <si>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</si>
  <si>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</si>
  <si>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</si>
  <si>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</si>
  <si>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</si>
  <si>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</si>
  <si>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</si>
  <si>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</si>
  <si>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</si>
  <si>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</si>
  <si>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</si>
  <si>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</si>
  <si>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</si>
  <si>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</si>
  <si>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</si>
  <si>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</si>
  <si>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</si>
  <si>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</si>
  <si>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</si>
  <si>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</si>
  <si>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</si>
  <si>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</si>
  <si>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</si>
  <si>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</si>
  <si>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</si>
  <si>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</si>
  <si>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</si>
  <si>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</si>
  <si>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</si>
  <si>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</si>
  <si>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</si>
  <si>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</si>
  <si>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</si>
  <si>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</si>
  <si>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</si>
  <si>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</si>
  <si>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</si>
  <si>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</si>
  <si>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</si>
  <si>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</si>
  <si>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</si>
  <si>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</si>
  <si>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</si>
  <si>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</si>
  <si>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</si>
  <si>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</si>
  <si>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</si>
  <si>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</si>
  <si>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</si>
  <si>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</si>
  <si>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</si>
  <si>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</si>
  <si>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</si>
  <si>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</si>
  <si>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</si>
  <si>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</si>
  <si>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</si>
  <si>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</si>
  <si>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</si>
  <si>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</si>
  <si>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</si>
  <si>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</si>
  <si>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</si>
  <si>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</si>
  <si>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</si>
  <si>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</si>
  <si>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</si>
  <si>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</si>
  <si>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</si>
  <si>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</si>
  <si>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</si>
  <si>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</si>
  <si>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</si>
  <si>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</si>
  <si>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</si>
  <si>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</si>
  <si>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</si>
  <si>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</si>
  <si>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</si>
  <si>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</si>
  <si>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</si>
  <si>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</si>
  <si>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</si>
  <si>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</si>
  <si>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</si>
  <si>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</si>
  <si>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</si>
  <si>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</si>
  <si>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</si>
  <si>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</si>
  <si>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</si>
  <si>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</si>
  <si>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</si>
  <si>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</si>
  <si>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</si>
  <si>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</si>
  <si>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</si>
  <si>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</si>
  <si>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</si>
  <si>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</si>
  <si>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</si>
  <si>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</si>
  <si>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</si>
  <si>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</si>
  <si>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</si>
  <si>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</si>
  <si>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</si>
  <si>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</si>
  <si>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</si>
  <si>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</si>
  <si>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</si>
  <si>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</si>
  <si>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</si>
  <si>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</si>
  <si>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</si>
  <si>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</si>
  <si>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</si>
  <si>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</si>
  <si>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</si>
  <si>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</si>
  <si>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</si>
  <si>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</si>
  <si>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</si>
  <si>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</si>
  <si>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</si>
  <si>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</si>
  <si>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</si>
  <si>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</si>
  <si>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</si>
  <si>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</si>
  <si>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</si>
  <si>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</si>
  <si>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</si>
  <si>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</si>
  <si>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</si>
  <si>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</si>
  <si>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</si>
  <si>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</si>
  <si>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</si>
  <si>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</si>
  <si>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</si>
  <si>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</si>
  <si>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</si>
  <si>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</si>
  <si>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</si>
  <si>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</si>
  <si>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</si>
  <si>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</si>
  <si>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</si>
  <si>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</si>
  <si>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</si>
  <si>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</si>
  <si>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</si>
  <si>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</si>
  <si>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</si>
  <si>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</si>
  <si>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</si>
  <si>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</si>
  <si>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</si>
  <si>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</si>
  <si>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</si>
  <si>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</si>
  <si>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</si>
  <si>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</si>
  <si>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</si>
  <si>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</si>
  <si>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</si>
  <si>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</si>
  <si>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</si>
  <si>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</si>
  <si>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</si>
  <si>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</si>
  <si>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</si>
  <si>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</si>
  <si>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</si>
  <si>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</si>
  <si>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</si>
  <si>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</si>
  <si>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</si>
  <si>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</si>
  <si>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</si>
  <si>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</si>
  <si>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</si>
  <si>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</si>
  <si>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</si>
  <si>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</si>
  <si>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</si>
  <si>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</si>
  <si>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</si>
  <si>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</si>
  <si>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</si>
  <si>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</si>
  <si>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</si>
  <si>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</si>
  <si>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</si>
  <si>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</si>
  <si>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</si>
  <si>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</si>
  <si>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</si>
  <si>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</si>
  <si>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</si>
  <si>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</si>
  <si>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</si>
  <si>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</si>
  <si>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</si>
  <si>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</si>
  <si>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</si>
  <si>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</si>
  <si>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</si>
  <si>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</si>
  <si>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</si>
  <si>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</si>
  <si>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</si>
  <si>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</si>
  <si>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</si>
  <si>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</si>
  <si>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</si>
  <si>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</si>
  <si>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</si>
  <si>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</si>
  <si>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</si>
  <si>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</si>
  <si>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</si>
  <si>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</si>
  <si>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</si>
  <si>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</si>
  <si>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</si>
  <si>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</si>
  <si>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</si>
  <si>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</si>
  <si>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</si>
  <si>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</si>
  <si>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</si>
  <si>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</si>
  <si>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</si>
  <si>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</si>
  <si>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</si>
  <si>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</si>
  <si>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</si>
  <si>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</si>
  <si>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</si>
  <si>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</si>
  <si>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</si>
  <si>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</si>
  <si>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</si>
  <si>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</si>
  <si>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</si>
  <si>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</si>
  <si>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</si>
  <si>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</si>
  <si>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</si>
  <si>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</si>
  <si>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</si>
  <si>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</si>
  <si>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</si>
  <si>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</si>
  <si>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</si>
  <si>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</si>
  <si>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</si>
  <si>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</si>
  <si>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</si>
  <si>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</si>
  <si>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</si>
  <si>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</si>
  <si>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</si>
  <si>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</si>
  <si>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</si>
  <si>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</si>
  <si>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</si>
  <si>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</si>
  <si>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</si>
  <si>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</si>
  <si>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</si>
  <si>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</si>
  <si>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</si>
  <si>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</si>
  <si>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</si>
  <si>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</si>
  <si>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</si>
  <si>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</si>
  <si>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</si>
  <si>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</si>
  <si>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</si>
  <si>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</si>
  <si>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</si>
  <si>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</si>
  <si>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</si>
  <si>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</si>
  <si>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>ORGANISMO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</si>
  <si>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</si>
  <si>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</si>
  <si>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</si>
  <si>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</si>
  <si>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</si>
  <si>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</si>
  <si>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</si>
  <si>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</si>
  <si>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</si>
  <si>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</si>
  <si>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</si>
  <si>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</si>
  <si>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</si>
  <si>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</si>
  <si>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</si>
  <si>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</si>
  <si>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</si>
  <si>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</si>
  <si>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2016 y al 31 de diciembre de 2017 (b)</t>
  </si>
  <si>
    <t>Del 1 de enero al 31 de diciembre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</si>
</sst>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3">
    <xf numFmtId="0" fontId="0" fillId="0" borderId="0"/>
    <xf numFmtId="0" fontId="16" fillId="0" borderId="0"/>
    <xf numFmtId="0" fontId="15" fillId="0" borderId="0"/>
  </cellStyleXfs>
  <cellXfs count="19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5" fillId="0" borderId="13" xfId="0" applyNumberFormat="1" applyFont="1" applyBorder="1" applyAlignment="1" applyProtection="1">
      <alignment vertical="center"/>
      <protection locked="0"/>
    </xf>
    <xf numFmtId="4" fontId="0" fillId="0" borderId="13" xfId="0" applyNumberForma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" fontId="15" fillId="0" borderId="13" xfId="0" applyNumberFormat="1" applyFont="1" applyFill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54" t="s">
        <v>829</v>
      </c>
      <c r="B1" s="155"/>
      <c r="C1" s="155"/>
      <c r="D1" s="155"/>
      <c r="E1" s="156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7" t="s">
        <v>3284</v>
      </c>
      <c r="D3" s="157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63" zoomScale="85" zoomScaleNormal="85" workbookViewId="0">
      <selection activeCell="C70" sqref="C70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70" t="s">
        <v>542</v>
      </c>
      <c r="B1" s="170"/>
      <c r="C1" s="170"/>
      <c r="D1" s="170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8" t="str">
        <f>ENTE_PUBLICO_A</f>
        <v>ORGANISMO, Gobierno del Estado de Guanajuato (a)</v>
      </c>
      <c r="B2" s="159"/>
      <c r="C2" s="159"/>
      <c r="D2" s="160"/>
    </row>
    <row r="3" spans="1:11" ht="14.25" x14ac:dyDescent="0.45">
      <c r="A3" s="161" t="s">
        <v>166</v>
      </c>
      <c r="B3" s="162"/>
      <c r="C3" s="162"/>
      <c r="D3" s="163"/>
    </row>
    <row r="4" spans="1:11" ht="14.25" x14ac:dyDescent="0.45">
      <c r="A4" s="164" t="str">
        <f>TRIMESTRE</f>
        <v>Del 1 de enero al 31 de diciembre de 2017 (b)</v>
      </c>
      <c r="B4" s="165"/>
      <c r="C4" s="165"/>
      <c r="D4" s="166"/>
    </row>
    <row r="5" spans="1:11" ht="14.25" x14ac:dyDescent="0.45">
      <c r="A5" s="167" t="s">
        <v>118</v>
      </c>
      <c r="B5" s="168"/>
      <c r="C5" s="168"/>
      <c r="D5" s="169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285303603</v>
      </c>
      <c r="C8" s="40">
        <f t="shared" ref="C8:D8" si="0">SUM(C9:C11)</f>
        <v>384278890.18000001</v>
      </c>
      <c r="D8" s="40">
        <f t="shared" si="0"/>
        <v>383399446.49000001</v>
      </c>
    </row>
    <row r="9" spans="1:11" x14ac:dyDescent="0.25">
      <c r="A9" s="53" t="s">
        <v>169</v>
      </c>
      <c r="B9" s="149">
        <v>113994962</v>
      </c>
      <c r="C9" s="149">
        <v>160450995.96000001</v>
      </c>
      <c r="D9" s="149">
        <v>160451245.96000001</v>
      </c>
    </row>
    <row r="10" spans="1:11" ht="14.25" customHeight="1" x14ac:dyDescent="0.25">
      <c r="A10" s="53" t="s">
        <v>170</v>
      </c>
      <c r="B10" s="149">
        <v>171308641</v>
      </c>
      <c r="C10" s="149">
        <v>223827894.22</v>
      </c>
      <c r="D10" s="149">
        <v>222948200.53</v>
      </c>
    </row>
    <row r="11" spans="1:11" x14ac:dyDescent="0.2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285303603</v>
      </c>
      <c r="C13" s="40">
        <f t="shared" ref="C13:D13" si="2">C14+C15</f>
        <v>371990921.88999999</v>
      </c>
      <c r="D13" s="40">
        <f t="shared" si="2"/>
        <v>349579503.56</v>
      </c>
    </row>
    <row r="14" spans="1:11" x14ac:dyDescent="0.25">
      <c r="A14" s="53" t="s">
        <v>172</v>
      </c>
      <c r="B14" s="149">
        <v>113994962</v>
      </c>
      <c r="C14" s="149">
        <v>154729062.47</v>
      </c>
      <c r="D14" s="149">
        <v>152039958.75</v>
      </c>
    </row>
    <row r="15" spans="1:11" x14ac:dyDescent="0.25">
      <c r="A15" s="53" t="s">
        <v>173</v>
      </c>
      <c r="B15" s="149">
        <v>171308641</v>
      </c>
      <c r="C15" s="149">
        <v>217261859.41999999</v>
      </c>
      <c r="D15" s="149">
        <v>197539544.81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7">
        <f>B18+B19</f>
        <v>0</v>
      </c>
      <c r="C17" s="40">
        <f t="shared" ref="C17" si="3">C18+C19</f>
        <v>108907709.10000001</v>
      </c>
      <c r="D17" s="40">
        <f>D18+D19</f>
        <v>108907709.10000001</v>
      </c>
    </row>
    <row r="18" spans="1:4" x14ac:dyDescent="0.25">
      <c r="A18" s="53" t="s">
        <v>175</v>
      </c>
      <c r="B18" s="118">
        <v>0</v>
      </c>
      <c r="C18" s="149">
        <v>31392090.309999999</v>
      </c>
      <c r="D18" s="149">
        <v>31392090.309999999</v>
      </c>
    </row>
    <row r="19" spans="1:4" ht="14.25" customHeight="1" x14ac:dyDescent="0.25">
      <c r="A19" s="53" t="s">
        <v>176</v>
      </c>
      <c r="B19" s="118">
        <v>0</v>
      </c>
      <c r="C19" s="149">
        <v>77515618.790000007</v>
      </c>
      <c r="D19" s="150">
        <v>77515618.790000007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121195677.39000003</v>
      </c>
      <c r="D21" s="40">
        <f t="shared" si="4"/>
        <v>142727652.03000003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5">C21-C11</f>
        <v>121195677.39000003</v>
      </c>
      <c r="D23" s="40">
        <f t="shared" si="5"/>
        <v>142727652.03000003</v>
      </c>
    </row>
    <row r="24" spans="1:4" x14ac:dyDescent="0.25">
      <c r="A24" s="55"/>
      <c r="B24" s="17"/>
      <c r="C24" s="17"/>
      <c r="D24" s="17"/>
    </row>
    <row r="25" spans="1:4" x14ac:dyDescent="0.25">
      <c r="A25" s="119" t="s">
        <v>179</v>
      </c>
      <c r="B25" s="40">
        <f>B23-B17</f>
        <v>0</v>
      </c>
      <c r="C25" s="40">
        <f t="shared" ref="C25" si="6">C23-C17</f>
        <v>12287968.290000021</v>
      </c>
      <c r="D25" s="40">
        <f>D23-D17</f>
        <v>33819942.930000022</v>
      </c>
    </row>
    <row r="26" spans="1:4" x14ac:dyDescent="0.25">
      <c r="A26" s="120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2</v>
      </c>
      <c r="C29" s="61">
        <f t="shared" ref="C29:D29" si="7">C30+C31</f>
        <v>2</v>
      </c>
      <c r="D29" s="61">
        <f t="shared" si="7"/>
        <v>2</v>
      </c>
    </row>
    <row r="30" spans="1:4" x14ac:dyDescent="0.25">
      <c r="A30" s="53" t="s">
        <v>187</v>
      </c>
      <c r="B30" s="60">
        <v>1</v>
      </c>
      <c r="C30" s="60">
        <v>1</v>
      </c>
      <c r="D30" s="60">
        <v>1</v>
      </c>
    </row>
    <row r="31" spans="1:4" x14ac:dyDescent="0.25">
      <c r="A31" s="53" t="s">
        <v>188</v>
      </c>
      <c r="B31" s="60">
        <v>1</v>
      </c>
      <c r="C31" s="60">
        <v>1</v>
      </c>
      <c r="D31" s="60">
        <v>1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2</v>
      </c>
      <c r="C33" s="61">
        <f t="shared" ref="C33:D33" si="8">C25+C29</f>
        <v>12287970.290000021</v>
      </c>
      <c r="D33" s="61">
        <f t="shared" si="8"/>
        <v>33819944.930000022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2</v>
      </c>
      <c r="C37" s="61">
        <f t="shared" ref="C37:D37" si="9">C38+C39</f>
        <v>2</v>
      </c>
      <c r="D37" s="61">
        <f t="shared" si="9"/>
        <v>2</v>
      </c>
    </row>
    <row r="38" spans="1:4" x14ac:dyDescent="0.25">
      <c r="A38" s="53" t="s">
        <v>192</v>
      </c>
      <c r="B38" s="60">
        <v>1</v>
      </c>
      <c r="C38" s="60">
        <v>1</v>
      </c>
      <c r="D38" s="60">
        <v>1</v>
      </c>
    </row>
    <row r="39" spans="1:4" x14ac:dyDescent="0.25">
      <c r="A39" s="53" t="s">
        <v>193</v>
      </c>
      <c r="B39" s="60">
        <v>1</v>
      </c>
      <c r="C39" s="60">
        <v>1</v>
      </c>
      <c r="D39" s="60">
        <v>1</v>
      </c>
    </row>
    <row r="40" spans="1:4" x14ac:dyDescent="0.25">
      <c r="A40" s="55" t="s">
        <v>194</v>
      </c>
      <c r="B40" s="61">
        <f>B41+B42</f>
        <v>2</v>
      </c>
      <c r="C40" s="61">
        <f t="shared" ref="C40:D40" si="10">C41+C42</f>
        <v>2</v>
      </c>
      <c r="D40" s="61">
        <f t="shared" si="10"/>
        <v>2</v>
      </c>
    </row>
    <row r="41" spans="1:4" x14ac:dyDescent="0.25">
      <c r="A41" s="53" t="s">
        <v>195</v>
      </c>
      <c r="B41" s="60">
        <v>1</v>
      </c>
      <c r="C41" s="60">
        <v>1</v>
      </c>
      <c r="D41" s="60">
        <v>1</v>
      </c>
    </row>
    <row r="42" spans="1:4" x14ac:dyDescent="0.25">
      <c r="A42" s="53" t="s">
        <v>196</v>
      </c>
      <c r="B42" s="60">
        <v>1</v>
      </c>
      <c r="C42" s="60">
        <v>1</v>
      </c>
      <c r="D42" s="60">
        <v>1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2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5" t="s">
        <v>198</v>
      </c>
      <c r="B48" s="123">
        <f>B9</f>
        <v>113994962</v>
      </c>
      <c r="C48" s="123">
        <f>C9</f>
        <v>160450995.96000001</v>
      </c>
      <c r="D48" s="123">
        <f t="shared" ref="D48" si="12">D9</f>
        <v>160451245.96000001</v>
      </c>
    </row>
    <row r="49" spans="1:4" x14ac:dyDescent="0.25">
      <c r="A49" s="126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7" t="s">
        <v>192</v>
      </c>
      <c r="B50" s="60">
        <v>1</v>
      </c>
      <c r="C50" s="60">
        <v>1</v>
      </c>
      <c r="D50" s="60">
        <v>1</v>
      </c>
    </row>
    <row r="51" spans="1:4" x14ac:dyDescent="0.25">
      <c r="A51" s="127" t="s">
        <v>195</v>
      </c>
      <c r="B51" s="60">
        <v>1</v>
      </c>
      <c r="C51" s="60">
        <v>1</v>
      </c>
      <c r="D51" s="60">
        <v>1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113994962</v>
      </c>
      <c r="C53" s="60">
        <f t="shared" ref="C53:D53" si="14">C14</f>
        <v>154729062.47</v>
      </c>
      <c r="D53" s="60">
        <f t="shared" si="14"/>
        <v>152039958.75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4">
        <f>B18</f>
        <v>0</v>
      </c>
      <c r="C55" s="60">
        <f t="shared" ref="C55:D55" si="15">C18</f>
        <v>31392090.309999999</v>
      </c>
      <c r="D55" s="60">
        <f t="shared" si="15"/>
        <v>31392090.309999999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9" t="s">
        <v>201</v>
      </c>
      <c r="B57" s="61">
        <f>B48+B49-B53+B55</f>
        <v>0</v>
      </c>
      <c r="C57" s="61">
        <f>C48+C49-C53+C55</f>
        <v>37114023.800000012</v>
      </c>
      <c r="D57" s="61">
        <f t="shared" ref="D57" si="16">D48+D49-D53+D55</f>
        <v>39803377.520000011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9" t="s">
        <v>200</v>
      </c>
      <c r="B59" s="61">
        <f>B57-B49</f>
        <v>0</v>
      </c>
      <c r="C59" s="61">
        <f t="shared" ref="C59:D59" si="17">C57-C49</f>
        <v>37114023.800000012</v>
      </c>
      <c r="D59" s="61">
        <f t="shared" si="17"/>
        <v>39803377.520000011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5" t="s">
        <v>170</v>
      </c>
      <c r="B63" s="121">
        <f>B10</f>
        <v>171308641</v>
      </c>
      <c r="C63" s="121">
        <f t="shared" ref="C63:D63" si="18">C10</f>
        <v>223827894.22</v>
      </c>
      <c r="D63" s="121">
        <f t="shared" si="18"/>
        <v>222948200.53</v>
      </c>
    </row>
    <row r="64" spans="1:4" ht="30" x14ac:dyDescent="0.25">
      <c r="A64" s="126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7" t="s">
        <v>193</v>
      </c>
      <c r="B65" s="23">
        <v>1</v>
      </c>
      <c r="C65" s="23">
        <v>1</v>
      </c>
      <c r="D65" s="23">
        <v>1</v>
      </c>
    </row>
    <row r="66" spans="1:4" x14ac:dyDescent="0.25">
      <c r="A66" s="127" t="s">
        <v>196</v>
      </c>
      <c r="B66" s="23">
        <v>1</v>
      </c>
      <c r="C66" s="23">
        <v>1</v>
      </c>
      <c r="D66" s="23">
        <v>1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171308641</v>
      </c>
      <c r="C68" s="23">
        <f t="shared" ref="C68:D68" si="20">C15</f>
        <v>217261859.41999999</v>
      </c>
      <c r="D68" s="23">
        <f t="shared" si="20"/>
        <v>197539544.81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2">
        <f>B19</f>
        <v>0</v>
      </c>
      <c r="C70" s="23">
        <f t="shared" ref="C70:D70" si="21">C19</f>
        <v>77515618.790000007</v>
      </c>
      <c r="D70" s="23">
        <f t="shared" si="21"/>
        <v>77515618.790000007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9" t="s">
        <v>205</v>
      </c>
      <c r="B72" s="40">
        <f>B63+B64-B68+B70</f>
        <v>0</v>
      </c>
      <c r="C72" s="40">
        <f t="shared" ref="C72:D72" si="22">C63+C64-C68+C70</f>
        <v>84081653.590000018</v>
      </c>
      <c r="D72" s="40">
        <f t="shared" si="22"/>
        <v>102924274.51000001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9" t="s">
        <v>204</v>
      </c>
      <c r="B74" s="40">
        <f>B72-B64</f>
        <v>0</v>
      </c>
      <c r="C74" s="40">
        <f>C72-C64</f>
        <v>84081653.590000018</v>
      </c>
      <c r="D74" s="40">
        <f t="shared" ref="D74" si="23">D72-D64</f>
        <v>102924274.51000001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285303603</v>
      </c>
      <c r="Q2" s="18">
        <f>'Formato 4'!C8</f>
        <v>384278890.18000001</v>
      </c>
      <c r="R2" s="18">
        <f>'Formato 4'!D8</f>
        <v>383399446.49000001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113994962</v>
      </c>
      <c r="Q3" s="18">
        <f>'Formato 4'!C9</f>
        <v>160450995.96000001</v>
      </c>
      <c r="R3" s="18">
        <f>'Formato 4'!D9</f>
        <v>160451245.96000001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171308641</v>
      </c>
      <c r="Q4" s="18">
        <f>'Formato 4'!C10</f>
        <v>223827894.22</v>
      </c>
      <c r="R4" s="18">
        <f>'Formato 4'!D10</f>
        <v>222948200.53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285303603</v>
      </c>
      <c r="Q6" s="18">
        <f>'Formato 4'!C13</f>
        <v>371990921.88999999</v>
      </c>
      <c r="R6" s="18">
        <f>'Formato 4'!D13</f>
        <v>349579503.56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113994962</v>
      </c>
      <c r="Q7" s="18">
        <f>'Formato 4'!C14</f>
        <v>154729062.47</v>
      </c>
      <c r="R7" s="18">
        <f>'Formato 4'!D14</f>
        <v>152039958.75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171308641</v>
      </c>
      <c r="Q8" s="18">
        <f>'Formato 4'!C15</f>
        <v>217261859.41999999</v>
      </c>
      <c r="R8" s="18">
        <f>'Formato 4'!D15</f>
        <v>197539544.81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108907709.10000001</v>
      </c>
      <c r="R9" s="18">
        <f>'Formato 4'!D17</f>
        <v>108907709.10000001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31392090.309999999</v>
      </c>
      <c r="R10" s="18">
        <f>'Formato 4'!D18</f>
        <v>31392090.309999999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77515618.790000007</v>
      </c>
      <c r="R11" s="18">
        <f>'Formato 4'!D19</f>
        <v>77515618.790000007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121195677.39000003</v>
      </c>
      <c r="R12" s="18">
        <f>'Formato 4'!D21</f>
        <v>142727652.03000003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121195677.39000003</v>
      </c>
      <c r="R13" s="18">
        <f>'Formato 4'!D23</f>
        <v>142727652.03000003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12287968.290000021</v>
      </c>
      <c r="R14" s="18">
        <f>'Formato 4'!D25</f>
        <v>33819942.930000022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2</v>
      </c>
      <c r="Q15">
        <f>'Formato 4'!C29</f>
        <v>2</v>
      </c>
      <c r="R15">
        <f>'Formato 4'!D29</f>
        <v>2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1</v>
      </c>
      <c r="Q16">
        <f>'Formato 4'!C30</f>
        <v>1</v>
      </c>
      <c r="R16">
        <f>'Formato 4'!D30</f>
        <v>1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1</v>
      </c>
      <c r="Q17">
        <f>'Formato 4'!C31</f>
        <v>1</v>
      </c>
      <c r="R17">
        <f>'Formato 4'!D31</f>
        <v>1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2</v>
      </c>
      <c r="Q18">
        <f>'Formato 4'!C33</f>
        <v>12287970.290000021</v>
      </c>
      <c r="R18">
        <f>'Formato 4'!D33</f>
        <v>33819944.930000022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2</v>
      </c>
      <c r="Q19">
        <f>'Formato 4'!C37</f>
        <v>2</v>
      </c>
      <c r="R19">
        <f>'Formato 4'!D37</f>
        <v>2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1</v>
      </c>
      <c r="Q20">
        <f>'Formato 4'!C38</f>
        <v>1</v>
      </c>
      <c r="R20">
        <f>'Formato 4'!D38</f>
        <v>1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1</v>
      </c>
      <c r="Q21">
        <f>'Formato 4'!C39</f>
        <v>1</v>
      </c>
      <c r="R21">
        <f>'Formato 4'!D39</f>
        <v>1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2</v>
      </c>
      <c r="Q22">
        <f>'Formato 4'!C40</f>
        <v>2</v>
      </c>
      <c r="R22">
        <f>'Formato 4'!D40</f>
        <v>2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1</v>
      </c>
      <c r="Q23">
        <f>'Formato 4'!C41</f>
        <v>1</v>
      </c>
      <c r="R23">
        <f>'Formato 4'!D41</f>
        <v>1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1</v>
      </c>
      <c r="Q24">
        <f>'Formato 4'!C42</f>
        <v>1</v>
      </c>
      <c r="R24">
        <f>'Formato 4'!D42</f>
        <v>1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113994962</v>
      </c>
      <c r="Q26">
        <f>'Formato 4'!C48</f>
        <v>160450995.96000001</v>
      </c>
      <c r="R26">
        <f>'Formato 4'!D48</f>
        <v>160451245.96000001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1</v>
      </c>
      <c r="Q28">
        <f>'Formato 4'!C50</f>
        <v>1</v>
      </c>
      <c r="R28">
        <f>'Formato 4'!D50</f>
        <v>1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1</v>
      </c>
      <c r="Q29">
        <f>'Formato 4'!C51</f>
        <v>1</v>
      </c>
      <c r="R29">
        <f>'Formato 4'!D51</f>
        <v>1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113994962</v>
      </c>
      <c r="Q30">
        <f>'Formato 4'!C53</f>
        <v>154729062.47</v>
      </c>
      <c r="R30">
        <f>'Formato 4'!D53</f>
        <v>152039958.75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31392090.309999999</v>
      </c>
      <c r="R31">
        <f>'Formato 4'!D55</f>
        <v>31392090.309999999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171308641</v>
      </c>
      <c r="Q32">
        <f>'Formato 4'!C63</f>
        <v>223827894.22</v>
      </c>
      <c r="R32">
        <f>'Formato 4'!D63</f>
        <v>222948200.53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1</v>
      </c>
      <c r="Q34">
        <f>'Formato 4'!C65</f>
        <v>1</v>
      </c>
      <c r="R34">
        <f>'Formato 4'!D65</f>
        <v>1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1</v>
      </c>
      <c r="Q35">
        <f>'Formato 4'!C66</f>
        <v>1</v>
      </c>
      <c r="R35">
        <f>'Formato 4'!D66</f>
        <v>1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171308641</v>
      </c>
      <c r="Q36">
        <f>'Formato 4'!C68</f>
        <v>217261859.41999999</v>
      </c>
      <c r="R36">
        <f>'Formato 4'!D68</f>
        <v>197539544.81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77515618.790000007</v>
      </c>
      <c r="R37">
        <f>'Formato 4'!D70</f>
        <v>77515618.790000007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84081653.590000018</v>
      </c>
      <c r="R38">
        <f>'Formato 4'!D72</f>
        <v>102924274.51000001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84081653.590000018</v>
      </c>
      <c r="R39">
        <f>'Formato 4'!D74</f>
        <v>102924274.51000001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55" zoomScale="85" zoomScaleNormal="85" workbookViewId="0">
      <selection activeCell="C73" sqref="C73:F7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6" t="s">
        <v>206</v>
      </c>
      <c r="B1" s="176"/>
      <c r="C1" s="176"/>
      <c r="D1" s="176"/>
      <c r="E1" s="176"/>
      <c r="F1" s="176"/>
      <c r="G1" s="176"/>
    </row>
    <row r="2" spans="1:8" ht="14.25" x14ac:dyDescent="0.45">
      <c r="A2" s="158" t="str">
        <f>ENTE_PUBLICO_A</f>
        <v>ORGANISMO, Gobierno del Estado de Guanajuato (a)</v>
      </c>
      <c r="B2" s="159"/>
      <c r="C2" s="159"/>
      <c r="D2" s="159"/>
      <c r="E2" s="159"/>
      <c r="F2" s="159"/>
      <c r="G2" s="160"/>
    </row>
    <row r="3" spans="1:8" x14ac:dyDescent="0.25">
      <c r="A3" s="161" t="s">
        <v>207</v>
      </c>
      <c r="B3" s="162"/>
      <c r="C3" s="162"/>
      <c r="D3" s="162"/>
      <c r="E3" s="162"/>
      <c r="F3" s="162"/>
      <c r="G3" s="163"/>
    </row>
    <row r="4" spans="1:8" ht="14.25" x14ac:dyDescent="0.45">
      <c r="A4" s="164" t="str">
        <f>TRIMESTRE</f>
        <v>Del 1 de enero al 31 de diciembre de 2017 (b)</v>
      </c>
      <c r="B4" s="165"/>
      <c r="C4" s="165"/>
      <c r="D4" s="165"/>
      <c r="E4" s="165"/>
      <c r="F4" s="165"/>
      <c r="G4" s="166"/>
    </row>
    <row r="5" spans="1:8" ht="14.25" x14ac:dyDescent="0.45">
      <c r="A5" s="167" t="s">
        <v>118</v>
      </c>
      <c r="B5" s="168"/>
      <c r="C5" s="168"/>
      <c r="D5" s="168"/>
      <c r="E5" s="168"/>
      <c r="F5" s="168"/>
      <c r="G5" s="169"/>
    </row>
    <row r="6" spans="1:8" x14ac:dyDescent="0.25">
      <c r="A6" s="173" t="s">
        <v>214</v>
      </c>
      <c r="B6" s="175" t="s">
        <v>208</v>
      </c>
      <c r="C6" s="175"/>
      <c r="D6" s="175"/>
      <c r="E6" s="175"/>
      <c r="F6" s="175"/>
      <c r="G6" s="175" t="s">
        <v>209</v>
      </c>
    </row>
    <row r="7" spans="1:8" ht="30" x14ac:dyDescent="0.25">
      <c r="A7" s="174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5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customHeight="1" x14ac:dyDescent="0.25">
      <c r="A9" s="53" t="s">
        <v>216</v>
      </c>
      <c r="B9" s="151">
        <v>14659668</v>
      </c>
      <c r="C9" s="151">
        <v>826854.72</v>
      </c>
      <c r="D9" s="151">
        <v>15486522.720000001</v>
      </c>
      <c r="E9" s="151">
        <v>16217999.49</v>
      </c>
      <c r="F9" s="151">
        <v>16217999.49</v>
      </c>
      <c r="G9" s="60">
        <f>F9-B9</f>
        <v>1558331.4900000002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2589080.0099999998</v>
      </c>
      <c r="C12" s="60">
        <v>1247603.29</v>
      </c>
      <c r="D12" s="60">
        <v>3836683.3</v>
      </c>
      <c r="E12" s="60">
        <v>4071008.46</v>
      </c>
      <c r="F12" s="60">
        <v>4071008.46</v>
      </c>
      <c r="G12" s="60">
        <f t="shared" si="0"/>
        <v>1481928.4500000002</v>
      </c>
    </row>
    <row r="13" spans="1:8" x14ac:dyDescent="0.25">
      <c r="A13" s="53" t="s">
        <v>220</v>
      </c>
      <c r="B13" s="60">
        <v>4922261.99</v>
      </c>
      <c r="C13" s="60">
        <v>2834103.93</v>
      </c>
      <c r="D13" s="60">
        <v>7756365.9199999999</v>
      </c>
      <c r="E13" s="60">
        <v>8981879.4399999995</v>
      </c>
      <c r="F13" s="60">
        <v>8981879.4399999995</v>
      </c>
      <c r="G13" s="60">
        <f t="shared" si="0"/>
        <v>4059617.4499999993</v>
      </c>
    </row>
    <row r="14" spans="1:8" x14ac:dyDescent="0.25">
      <c r="A14" s="53" t="s">
        <v>221</v>
      </c>
      <c r="B14" s="60">
        <v>1960513</v>
      </c>
      <c r="C14" s="60">
        <v>312046.07</v>
      </c>
      <c r="D14" s="60">
        <v>2272559.0699999998</v>
      </c>
      <c r="E14" s="60">
        <v>2607557.6800000002</v>
      </c>
      <c r="F14" s="60">
        <v>2607557.6800000002</v>
      </c>
      <c r="G14" s="60">
        <f t="shared" si="0"/>
        <v>647044.68000000017</v>
      </c>
    </row>
    <row r="15" spans="1:8" ht="14.25" x14ac:dyDescent="0.45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f t="shared" si="0"/>
        <v>0</v>
      </c>
    </row>
    <row r="16" spans="1:8" ht="14.25" x14ac:dyDescent="0.45">
      <c r="A16" s="10" t="s">
        <v>275</v>
      </c>
      <c r="B16" s="60">
        <f>SUM(B17:B27)</f>
        <v>88099440</v>
      </c>
      <c r="C16" s="60">
        <f t="shared" ref="C16:F16" si="1">SUM(C17:C27)</f>
        <v>8326251.6399999987</v>
      </c>
      <c r="D16" s="60">
        <f t="shared" si="1"/>
        <v>96425691.640000001</v>
      </c>
      <c r="E16" s="60">
        <f t="shared" si="1"/>
        <v>102918205.90000001</v>
      </c>
      <c r="F16" s="60">
        <f t="shared" si="1"/>
        <v>102918205.90000001</v>
      </c>
      <c r="G16" s="60">
        <f>SUM(G17:G27)</f>
        <v>14818765.9</v>
      </c>
    </row>
    <row r="17" spans="1:7" x14ac:dyDescent="0.25">
      <c r="A17" s="63" t="s">
        <v>223</v>
      </c>
      <c r="B17" s="60">
        <v>58231573</v>
      </c>
      <c r="C17" s="60">
        <v>4582414.97</v>
      </c>
      <c r="D17" s="60">
        <v>62813987.969999999</v>
      </c>
      <c r="E17" s="60">
        <v>67217037.920000002</v>
      </c>
      <c r="F17" s="60">
        <v>67217037.920000002</v>
      </c>
      <c r="G17" s="60">
        <f>F17-B17</f>
        <v>8985464.9200000018</v>
      </c>
    </row>
    <row r="18" spans="1:7" x14ac:dyDescent="0.25">
      <c r="A18" s="63" t="s">
        <v>224</v>
      </c>
      <c r="B18" s="60">
        <v>18918467</v>
      </c>
      <c r="C18" s="60">
        <v>1410963.17</v>
      </c>
      <c r="D18" s="60">
        <v>20329430.170000002</v>
      </c>
      <c r="E18" s="60">
        <v>21462989.66</v>
      </c>
      <c r="F18" s="60">
        <v>21462989.66</v>
      </c>
      <c r="G18" s="60">
        <f t="shared" ref="G18:G27" si="2">F18-B18</f>
        <v>2544522.66</v>
      </c>
    </row>
    <row r="19" spans="1:7" x14ac:dyDescent="0.25">
      <c r="A19" s="63" t="s">
        <v>225</v>
      </c>
      <c r="B19" s="60">
        <v>3180679</v>
      </c>
      <c r="C19" s="60">
        <v>267148.18</v>
      </c>
      <c r="D19" s="60">
        <v>3447827.18</v>
      </c>
      <c r="E19" s="60">
        <v>3864388.54</v>
      </c>
      <c r="F19" s="60">
        <v>3864388.54</v>
      </c>
      <c r="G19" s="60">
        <f t="shared" si="2"/>
        <v>683709.54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2046039</v>
      </c>
      <c r="C22" s="60">
        <v>-40603.03</v>
      </c>
      <c r="D22" s="60">
        <v>2005435.97</v>
      </c>
      <c r="E22" s="60">
        <v>2328921.27</v>
      </c>
      <c r="F22" s="60">
        <v>2328921.27</v>
      </c>
      <c r="G22" s="60">
        <f t="shared" si="2"/>
        <v>282882.27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2187394</v>
      </c>
      <c r="C25" s="60">
        <v>1436135.35</v>
      </c>
      <c r="D25" s="60">
        <v>3623529.35</v>
      </c>
      <c r="E25" s="60">
        <v>3199097.51</v>
      </c>
      <c r="F25" s="60">
        <v>3199097.51</v>
      </c>
      <c r="G25" s="60">
        <f t="shared" si="2"/>
        <v>1011703.5099999998</v>
      </c>
    </row>
    <row r="26" spans="1:7" x14ac:dyDescent="0.25">
      <c r="A26" s="63" t="s">
        <v>232</v>
      </c>
      <c r="B26" s="60">
        <v>3535288</v>
      </c>
      <c r="C26" s="60">
        <v>670193</v>
      </c>
      <c r="D26" s="60">
        <v>4205481</v>
      </c>
      <c r="E26" s="60">
        <v>4845771</v>
      </c>
      <c r="F26" s="60">
        <v>4845771</v>
      </c>
      <c r="G26" s="60">
        <f t="shared" si="2"/>
        <v>1310483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1547940</v>
      </c>
      <c r="C28" s="60">
        <f t="shared" ref="C28:G28" si="3">SUM(C29:C33)</f>
        <v>457651.14999999997</v>
      </c>
      <c r="D28" s="60">
        <f t="shared" si="3"/>
        <v>2005591.15</v>
      </c>
      <c r="E28" s="60">
        <f t="shared" si="3"/>
        <v>2294220.2200000002</v>
      </c>
      <c r="F28" s="60">
        <f t="shared" si="3"/>
        <v>2294220.2200000002</v>
      </c>
      <c r="G28" s="60">
        <f t="shared" si="3"/>
        <v>746280.22000000009</v>
      </c>
    </row>
    <row r="29" spans="1:7" x14ac:dyDescent="0.25">
      <c r="A29" s="63" t="s">
        <v>235</v>
      </c>
      <c r="B29" s="60">
        <v>8647</v>
      </c>
      <c r="C29" s="60">
        <v>8037.6</v>
      </c>
      <c r="D29" s="60">
        <v>16684.599999999999</v>
      </c>
      <c r="E29" s="60">
        <v>19000.439999999999</v>
      </c>
      <c r="F29" s="60">
        <v>19000.439999999999</v>
      </c>
      <c r="G29" s="60">
        <f>F29-B29</f>
        <v>10353.439999999999</v>
      </c>
    </row>
    <row r="30" spans="1:7" x14ac:dyDescent="0.25">
      <c r="A30" s="63" t="s">
        <v>236</v>
      </c>
      <c r="B30" s="60">
        <v>201933</v>
      </c>
      <c r="C30" s="60">
        <v>-13259.13</v>
      </c>
      <c r="D30" s="60">
        <v>188673.87</v>
      </c>
      <c r="E30" s="60">
        <v>205826.04</v>
      </c>
      <c r="F30" s="60">
        <v>205826.04</v>
      </c>
      <c r="G30" s="60">
        <f>F30-B30</f>
        <v>3893.0400000000081</v>
      </c>
    </row>
    <row r="31" spans="1:7" x14ac:dyDescent="0.25">
      <c r="A31" s="63" t="s">
        <v>237</v>
      </c>
      <c r="B31" s="60">
        <v>749183</v>
      </c>
      <c r="C31" s="60">
        <v>332092</v>
      </c>
      <c r="D31" s="60">
        <v>1081275</v>
      </c>
      <c r="E31" s="60">
        <v>1310074.56</v>
      </c>
      <c r="F31" s="60">
        <v>1310074.56</v>
      </c>
      <c r="G31" s="60">
        <f t="shared" ref="G31:G34" si="4">F31-B31</f>
        <v>560891.56000000006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588177</v>
      </c>
      <c r="C33" s="60">
        <v>130780.68</v>
      </c>
      <c r="D33" s="60">
        <v>718957.67999999993</v>
      </c>
      <c r="E33" s="60">
        <v>759319.18</v>
      </c>
      <c r="F33" s="60">
        <v>759319.18</v>
      </c>
      <c r="G33" s="60">
        <f t="shared" si="4"/>
        <v>171142.18000000005</v>
      </c>
    </row>
    <row r="34" spans="1:8" x14ac:dyDescent="0.25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4"/>
        <v>0</v>
      </c>
    </row>
    <row r="35" spans="1:8" x14ac:dyDescent="0.25">
      <c r="A35" s="53" t="s">
        <v>241</v>
      </c>
      <c r="B35" s="60">
        <f>B36</f>
        <v>216059</v>
      </c>
      <c r="C35" s="60">
        <f t="shared" ref="C35:F35" si="5">C36</f>
        <v>24983685.550000001</v>
      </c>
      <c r="D35" s="60">
        <f t="shared" si="5"/>
        <v>25199744.550000001</v>
      </c>
      <c r="E35" s="60">
        <f t="shared" si="5"/>
        <v>23360124.77</v>
      </c>
      <c r="F35" s="60">
        <f t="shared" si="5"/>
        <v>23360374.77</v>
      </c>
      <c r="G35" s="60">
        <f>G36</f>
        <v>23144315.77</v>
      </c>
    </row>
    <row r="36" spans="1:8" x14ac:dyDescent="0.25">
      <c r="A36" s="63" t="s">
        <v>242</v>
      </c>
      <c r="B36" s="60">
        <v>216059</v>
      </c>
      <c r="C36" s="60">
        <v>24983685.550000001</v>
      </c>
      <c r="D36" s="60">
        <v>25199744.550000001</v>
      </c>
      <c r="E36" s="60">
        <v>23360124.77</v>
      </c>
      <c r="F36" s="60">
        <v>23360374.77</v>
      </c>
      <c r="G36" s="60">
        <f>F36-B36</f>
        <v>23144315.77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113994962</v>
      </c>
      <c r="C41" s="61">
        <f t="shared" ref="C41:E41" si="7">SUM(C9,C10,C11,C12,C13,C14,C15,C16,C28,C34,C35,C37)</f>
        <v>38988196.350000001</v>
      </c>
      <c r="D41" s="61">
        <f t="shared" si="7"/>
        <v>152983158.35000002</v>
      </c>
      <c r="E41" s="61">
        <f t="shared" si="7"/>
        <v>160450995.96000001</v>
      </c>
      <c r="F41" s="61">
        <f>SUM(F9,F10,F11,F12,F13,F14,F15,F16,F28,F34,F35,F37)</f>
        <v>160451245.96000001</v>
      </c>
      <c r="G41" s="61">
        <f>SUM(G9,G10,G11,G12,G13,G14,G15,G16,G28,G34,G35,G37)</f>
        <v>46456283.959999993</v>
      </c>
    </row>
    <row r="42" spans="1:8" x14ac:dyDescent="0.25">
      <c r="A42" s="55" t="s">
        <v>246</v>
      </c>
      <c r="B42" s="128"/>
      <c r="C42" s="128"/>
      <c r="D42" s="128"/>
      <c r="E42" s="128"/>
      <c r="F42" s="128"/>
      <c r="G42" s="61">
        <f>IF(G41&gt;0,G41,0)</f>
        <v>46456283.959999993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171308641</v>
      </c>
      <c r="C45" s="60">
        <f t="shared" ref="C45:G45" si="8">SUM(C46:C53)</f>
        <v>11084538</v>
      </c>
      <c r="D45" s="60">
        <f t="shared" si="8"/>
        <v>182393179</v>
      </c>
      <c r="E45" s="60">
        <f t="shared" si="8"/>
        <v>182393179</v>
      </c>
      <c r="F45" s="60">
        <f t="shared" si="8"/>
        <v>182393179</v>
      </c>
      <c r="G45" s="60">
        <f t="shared" si="8"/>
        <v>11084538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152">
        <v>113630269</v>
      </c>
      <c r="C48" s="152">
        <v>5764892</v>
      </c>
      <c r="D48" s="152">
        <f t="shared" ref="D48:D49" si="10">B48+C48</f>
        <v>119395161</v>
      </c>
      <c r="E48" s="152">
        <v>119395161</v>
      </c>
      <c r="F48" s="152">
        <v>119395161</v>
      </c>
      <c r="G48" s="60">
        <f t="shared" si="9"/>
        <v>5764892</v>
      </c>
    </row>
    <row r="49" spans="1:7" ht="30" x14ac:dyDescent="0.25">
      <c r="A49" s="69" t="s">
        <v>252</v>
      </c>
      <c r="B49" s="152">
        <v>57678372</v>
      </c>
      <c r="C49" s="152">
        <v>5319646</v>
      </c>
      <c r="D49" s="152">
        <f t="shared" si="10"/>
        <v>62998018</v>
      </c>
      <c r="E49" s="152">
        <v>62998018</v>
      </c>
      <c r="F49" s="152">
        <v>62998018</v>
      </c>
      <c r="G49" s="60">
        <f t="shared" si="9"/>
        <v>5319646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1">SUM(C55:C58)</f>
        <v>39471153.960000001</v>
      </c>
      <c r="D54" s="60">
        <f t="shared" si="11"/>
        <v>39471153.960000001</v>
      </c>
      <c r="E54" s="60">
        <f t="shared" si="11"/>
        <v>36054503.859999999</v>
      </c>
      <c r="F54" s="60">
        <f t="shared" si="11"/>
        <v>35174810.170000002</v>
      </c>
      <c r="G54" s="60">
        <f t="shared" si="11"/>
        <v>35174810.170000002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2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2"/>
        <v>0</v>
      </c>
    </row>
    <row r="58" spans="1:7" x14ac:dyDescent="0.25">
      <c r="A58" s="48" t="s">
        <v>261</v>
      </c>
      <c r="B58" s="60">
        <v>0</v>
      </c>
      <c r="C58" s="152">
        <v>39471153.960000001</v>
      </c>
      <c r="D58" s="152">
        <f t="shared" ref="D58" si="13">B58+C58</f>
        <v>39471153.960000001</v>
      </c>
      <c r="E58" s="152">
        <v>36054503.859999999</v>
      </c>
      <c r="F58" s="152">
        <v>35174810.170000002</v>
      </c>
      <c r="G58" s="60">
        <f t="shared" si="12"/>
        <v>35174810.170000002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4">SUM(C60:C61)</f>
        <v>0</v>
      </c>
      <c r="D59" s="60">
        <f t="shared" si="14"/>
        <v>0</v>
      </c>
      <c r="E59" s="60">
        <f t="shared" si="14"/>
        <v>0</v>
      </c>
      <c r="F59" s="60">
        <f t="shared" si="14"/>
        <v>0</v>
      </c>
      <c r="G59" s="60">
        <f t="shared" si="14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148">
        <v>5068932.57</v>
      </c>
      <c r="D63" s="148">
        <f t="shared" ref="D63" si="15">B63+C63</f>
        <v>5068932.57</v>
      </c>
      <c r="E63" s="148">
        <v>5380211.3600000003</v>
      </c>
      <c r="F63" s="148">
        <v>5380211.3600000003</v>
      </c>
      <c r="G63" s="60">
        <f>F63-B63</f>
        <v>5380211.3600000003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171308641</v>
      </c>
      <c r="C65" s="61">
        <f t="shared" ref="C65:G65" si="16">C45+C54+C59+C62+C63</f>
        <v>55624624.530000001</v>
      </c>
      <c r="D65" s="61">
        <f t="shared" si="16"/>
        <v>226933265.53</v>
      </c>
      <c r="E65" s="61">
        <f t="shared" si="16"/>
        <v>223827894.22000003</v>
      </c>
      <c r="F65" s="61">
        <f t="shared" si="16"/>
        <v>222948200.53000003</v>
      </c>
      <c r="G65" s="61">
        <f t="shared" si="16"/>
        <v>51639559.530000001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7">C68</f>
        <v>0</v>
      </c>
      <c r="D67" s="61">
        <f t="shared" si="17"/>
        <v>0</v>
      </c>
      <c r="E67" s="61">
        <f t="shared" si="17"/>
        <v>0</v>
      </c>
      <c r="F67" s="61">
        <f t="shared" si="17"/>
        <v>0</v>
      </c>
      <c r="G67" s="61">
        <f t="shared" si="17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285303603</v>
      </c>
      <c r="C70" s="61">
        <f t="shared" ref="C70:G70" si="18">C41+C65+C67</f>
        <v>94612820.879999995</v>
      </c>
      <c r="D70" s="61">
        <f t="shared" si="18"/>
        <v>379916423.88</v>
      </c>
      <c r="E70" s="61">
        <f t="shared" si="18"/>
        <v>384278890.18000007</v>
      </c>
      <c r="F70" s="61">
        <f t="shared" si="18"/>
        <v>383399446.49000001</v>
      </c>
      <c r="G70" s="61">
        <f t="shared" si="18"/>
        <v>98095843.489999995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9" t="s">
        <v>272</v>
      </c>
      <c r="B73" s="60">
        <v>0</v>
      </c>
      <c r="C73" s="60">
        <v>31392090.309999999</v>
      </c>
      <c r="D73" s="60">
        <v>31392090.309999999</v>
      </c>
      <c r="E73" s="60">
        <v>31392090.309999999</v>
      </c>
      <c r="F73" s="60">
        <v>31392090.309999999</v>
      </c>
      <c r="G73" s="60">
        <f>F73-B73</f>
        <v>31392090.309999999</v>
      </c>
    </row>
    <row r="74" spans="1:7" ht="30" x14ac:dyDescent="0.25">
      <c r="A74" s="129" t="s">
        <v>273</v>
      </c>
      <c r="B74" s="60">
        <v>0</v>
      </c>
      <c r="C74" s="60">
        <v>77515618.790000007</v>
      </c>
      <c r="D74" s="60">
        <v>77515618.790000007</v>
      </c>
      <c r="E74" s="60">
        <v>77515618.790000007</v>
      </c>
      <c r="F74" s="60">
        <v>77515618.790000007</v>
      </c>
      <c r="G74" s="60">
        <f>F74-B74</f>
        <v>77515618.790000007</v>
      </c>
    </row>
    <row r="75" spans="1:7" x14ac:dyDescent="0.25">
      <c r="A75" s="119" t="s">
        <v>274</v>
      </c>
      <c r="B75" s="61">
        <f>B73+B74</f>
        <v>0</v>
      </c>
      <c r="C75" s="61">
        <f t="shared" ref="C75:G75" si="19">C73+C74</f>
        <v>108907709.10000001</v>
      </c>
      <c r="D75" s="61">
        <f t="shared" si="19"/>
        <v>108907709.10000001</v>
      </c>
      <c r="E75" s="61">
        <f t="shared" si="19"/>
        <v>108907709.10000001</v>
      </c>
      <c r="F75" s="61">
        <f t="shared" si="19"/>
        <v>108907709.10000001</v>
      </c>
      <c r="G75" s="61">
        <f t="shared" si="19"/>
        <v>108907709.10000001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14659668</v>
      </c>
      <c r="Q3" s="18">
        <f>'Formato 5'!C9</f>
        <v>826854.72</v>
      </c>
      <c r="R3" s="18">
        <f>'Formato 5'!D9</f>
        <v>15486522.720000001</v>
      </c>
      <c r="S3" s="18">
        <f>'Formato 5'!E9</f>
        <v>16217999.49</v>
      </c>
      <c r="T3" s="18">
        <f>'Formato 5'!F9</f>
        <v>16217999.49</v>
      </c>
      <c r="U3" s="18">
        <f>'Formato 5'!G9</f>
        <v>1558331.4900000002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2589080.0099999998</v>
      </c>
      <c r="Q6" s="18">
        <f>'Formato 5'!C12</f>
        <v>1247603.29</v>
      </c>
      <c r="R6" s="18">
        <f>'Formato 5'!D12</f>
        <v>3836683.3</v>
      </c>
      <c r="S6" s="18">
        <f>'Formato 5'!E12</f>
        <v>4071008.46</v>
      </c>
      <c r="T6" s="18">
        <f>'Formato 5'!F12</f>
        <v>4071008.46</v>
      </c>
      <c r="U6" s="18">
        <f>'Formato 5'!G12</f>
        <v>1481928.4500000002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4922261.99</v>
      </c>
      <c r="Q7" s="18">
        <f>'Formato 5'!C13</f>
        <v>2834103.93</v>
      </c>
      <c r="R7" s="18">
        <f>'Formato 5'!D13</f>
        <v>7756365.9199999999</v>
      </c>
      <c r="S7" s="18">
        <f>'Formato 5'!E13</f>
        <v>8981879.4399999995</v>
      </c>
      <c r="T7" s="18">
        <f>'Formato 5'!F13</f>
        <v>8981879.4399999995</v>
      </c>
      <c r="U7" s="18">
        <f>'Formato 5'!G13</f>
        <v>4059617.4499999993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1960513</v>
      </c>
      <c r="Q8" s="18">
        <f>'Formato 5'!C14</f>
        <v>312046.07</v>
      </c>
      <c r="R8" s="18">
        <f>'Formato 5'!D14</f>
        <v>2272559.0699999998</v>
      </c>
      <c r="S8" s="18">
        <f>'Formato 5'!E14</f>
        <v>2607557.6800000002</v>
      </c>
      <c r="T8" s="18">
        <f>'Formato 5'!F14</f>
        <v>2607557.6800000002</v>
      </c>
      <c r="U8" s="18">
        <f>'Formato 5'!G14</f>
        <v>647044.68000000017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88099440</v>
      </c>
      <c r="Q10" s="18">
        <f>'Formato 5'!C16</f>
        <v>8326251.6399999987</v>
      </c>
      <c r="R10" s="18">
        <f>'Formato 5'!D16</f>
        <v>96425691.640000001</v>
      </c>
      <c r="S10" s="18">
        <f>'Formato 5'!E16</f>
        <v>102918205.90000001</v>
      </c>
      <c r="T10" s="18">
        <f>'Formato 5'!F16</f>
        <v>102918205.90000001</v>
      </c>
      <c r="U10" s="18">
        <f>'Formato 5'!G16</f>
        <v>14818765.9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58231573</v>
      </c>
      <c r="Q11" s="18">
        <f>'Formato 5'!C17</f>
        <v>4582414.97</v>
      </c>
      <c r="R11" s="18">
        <f>'Formato 5'!D17</f>
        <v>62813987.969999999</v>
      </c>
      <c r="S11" s="18">
        <f>'Formato 5'!E17</f>
        <v>67217037.920000002</v>
      </c>
      <c r="T11" s="18">
        <f>'Formato 5'!F17</f>
        <v>67217037.920000002</v>
      </c>
      <c r="U11" s="18">
        <f>'Formato 5'!G17</f>
        <v>8985464.9200000018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18918467</v>
      </c>
      <c r="Q12" s="18">
        <f>'Formato 5'!C18</f>
        <v>1410963.17</v>
      </c>
      <c r="R12" s="18">
        <f>'Formato 5'!D18</f>
        <v>20329430.170000002</v>
      </c>
      <c r="S12" s="18">
        <f>'Formato 5'!E18</f>
        <v>21462989.66</v>
      </c>
      <c r="T12" s="18">
        <f>'Formato 5'!F18</f>
        <v>21462989.66</v>
      </c>
      <c r="U12" s="18">
        <f>'Formato 5'!G18</f>
        <v>2544522.66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3180679</v>
      </c>
      <c r="Q13" s="18">
        <f>'Formato 5'!C19</f>
        <v>267148.18</v>
      </c>
      <c r="R13" s="18">
        <f>'Formato 5'!D19</f>
        <v>3447827.18</v>
      </c>
      <c r="S13" s="18">
        <f>'Formato 5'!E19</f>
        <v>3864388.54</v>
      </c>
      <c r="T13" s="18">
        <f>'Formato 5'!F19</f>
        <v>3864388.54</v>
      </c>
      <c r="U13" s="18">
        <f>'Formato 5'!G19</f>
        <v>683709.54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2046039</v>
      </c>
      <c r="Q16" s="18">
        <f>'Formato 5'!C22</f>
        <v>-40603.03</v>
      </c>
      <c r="R16" s="18">
        <f>'Formato 5'!D22</f>
        <v>2005435.97</v>
      </c>
      <c r="S16" s="18">
        <f>'Formato 5'!E22</f>
        <v>2328921.27</v>
      </c>
      <c r="T16" s="18">
        <f>'Formato 5'!F22</f>
        <v>2328921.27</v>
      </c>
      <c r="U16" s="18">
        <f>'Formato 5'!G22</f>
        <v>282882.27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2187394</v>
      </c>
      <c r="Q19" s="18">
        <f>'Formato 5'!C25</f>
        <v>1436135.35</v>
      </c>
      <c r="R19" s="18">
        <f>'Formato 5'!D25</f>
        <v>3623529.35</v>
      </c>
      <c r="S19" s="18">
        <f>'Formato 5'!E25</f>
        <v>3199097.51</v>
      </c>
      <c r="T19" s="18">
        <f>'Formato 5'!F25</f>
        <v>3199097.51</v>
      </c>
      <c r="U19" s="18">
        <f>'Formato 5'!G25</f>
        <v>1011703.5099999998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3535288</v>
      </c>
      <c r="Q20" s="18">
        <f>'Formato 5'!C26</f>
        <v>670193</v>
      </c>
      <c r="R20" s="18">
        <f>'Formato 5'!D26</f>
        <v>4205481</v>
      </c>
      <c r="S20" s="18">
        <f>'Formato 5'!E26</f>
        <v>4845771</v>
      </c>
      <c r="T20" s="18">
        <f>'Formato 5'!F26</f>
        <v>4845771</v>
      </c>
      <c r="U20" s="18">
        <f>'Formato 5'!G26</f>
        <v>1310483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1547940</v>
      </c>
      <c r="Q22" s="18">
        <f>'Formato 5'!C28</f>
        <v>457651.14999999997</v>
      </c>
      <c r="R22" s="18">
        <f>'Formato 5'!D28</f>
        <v>2005591.15</v>
      </c>
      <c r="S22" s="18">
        <f>'Formato 5'!E28</f>
        <v>2294220.2200000002</v>
      </c>
      <c r="T22" s="18">
        <f>'Formato 5'!F28</f>
        <v>2294220.2200000002</v>
      </c>
      <c r="U22" s="18">
        <f>'Formato 5'!G28</f>
        <v>746280.22000000009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8647</v>
      </c>
      <c r="Q23" s="18">
        <f>'Formato 5'!C29</f>
        <v>8037.6</v>
      </c>
      <c r="R23" s="18">
        <f>'Formato 5'!D29</f>
        <v>16684.599999999999</v>
      </c>
      <c r="S23" s="18">
        <f>'Formato 5'!E29</f>
        <v>19000.439999999999</v>
      </c>
      <c r="T23" s="18">
        <f>'Formato 5'!F29</f>
        <v>19000.439999999999</v>
      </c>
      <c r="U23" s="18">
        <f>'Formato 5'!G29</f>
        <v>10353.439999999999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201933</v>
      </c>
      <c r="Q24" s="18">
        <f>'Formato 5'!C30</f>
        <v>-13259.13</v>
      </c>
      <c r="R24" s="18">
        <f>'Formato 5'!D30</f>
        <v>188673.87</v>
      </c>
      <c r="S24" s="18">
        <f>'Formato 5'!E30</f>
        <v>205826.04</v>
      </c>
      <c r="T24" s="18">
        <f>'Formato 5'!F30</f>
        <v>205826.04</v>
      </c>
      <c r="U24" s="18">
        <f>'Formato 5'!G30</f>
        <v>3893.0400000000081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749183</v>
      </c>
      <c r="Q25" s="18">
        <f>'Formato 5'!C31</f>
        <v>332092</v>
      </c>
      <c r="R25" s="18">
        <f>'Formato 5'!D31</f>
        <v>1081275</v>
      </c>
      <c r="S25" s="18">
        <f>'Formato 5'!E31</f>
        <v>1310074.56</v>
      </c>
      <c r="T25" s="18">
        <f>'Formato 5'!F31</f>
        <v>1310074.56</v>
      </c>
      <c r="U25" s="18">
        <f>'Formato 5'!G31</f>
        <v>560891.56000000006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588177</v>
      </c>
      <c r="Q27" s="18">
        <f>'Formato 5'!C33</f>
        <v>130780.68</v>
      </c>
      <c r="R27" s="18">
        <f>'Formato 5'!D33</f>
        <v>718957.67999999993</v>
      </c>
      <c r="S27" s="18">
        <f>'Formato 5'!E33</f>
        <v>759319.18</v>
      </c>
      <c r="T27" s="18">
        <f>'Formato 5'!F33</f>
        <v>759319.18</v>
      </c>
      <c r="U27" s="18">
        <f>'Formato 5'!G33</f>
        <v>171142.18000000005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216059</v>
      </c>
      <c r="Q29" s="18">
        <f>'Formato 5'!C35</f>
        <v>24983685.550000001</v>
      </c>
      <c r="R29" s="18">
        <f>'Formato 5'!D35</f>
        <v>25199744.550000001</v>
      </c>
      <c r="S29" s="18">
        <f>'Formato 5'!E35</f>
        <v>23360124.77</v>
      </c>
      <c r="T29" s="18">
        <f>'Formato 5'!F35</f>
        <v>23360374.77</v>
      </c>
      <c r="U29" s="18">
        <f>'Formato 5'!G35</f>
        <v>23144315.77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216059</v>
      </c>
      <c r="Q30" s="18">
        <f>'Formato 5'!C36</f>
        <v>24983685.550000001</v>
      </c>
      <c r="R30" s="18">
        <f>'Formato 5'!D36</f>
        <v>25199744.550000001</v>
      </c>
      <c r="S30" s="18">
        <f>'Formato 5'!E36</f>
        <v>23360124.77</v>
      </c>
      <c r="T30" s="18">
        <f>'Formato 5'!F36</f>
        <v>23360374.77</v>
      </c>
      <c r="U30" s="18">
        <f>'Formato 5'!G36</f>
        <v>23144315.77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113994962</v>
      </c>
      <c r="Q34">
        <f>'Formato 5'!C41</f>
        <v>38988196.350000001</v>
      </c>
      <c r="R34">
        <f>'Formato 5'!D41</f>
        <v>152983158.35000002</v>
      </c>
      <c r="S34">
        <f>'Formato 5'!E41</f>
        <v>160450995.96000001</v>
      </c>
      <c r="T34">
        <f>'Formato 5'!F41</f>
        <v>160451245.96000001</v>
      </c>
      <c r="U34">
        <f>'Formato 5'!G41</f>
        <v>46456283.959999993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46456283.959999993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171308641</v>
      </c>
      <c r="Q37">
        <f>'Formato 5'!C45</f>
        <v>11084538</v>
      </c>
      <c r="R37">
        <f>'Formato 5'!D45</f>
        <v>182393179</v>
      </c>
      <c r="S37">
        <f>'Formato 5'!E45</f>
        <v>182393179</v>
      </c>
      <c r="T37">
        <f>'Formato 5'!F45</f>
        <v>182393179</v>
      </c>
      <c r="U37">
        <f>'Formato 5'!G45</f>
        <v>11084538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113630269</v>
      </c>
      <c r="Q40">
        <f>'Formato 5'!C48</f>
        <v>5764892</v>
      </c>
      <c r="R40">
        <f>'Formato 5'!D48</f>
        <v>119395161</v>
      </c>
      <c r="S40">
        <f>'Formato 5'!E48</f>
        <v>119395161</v>
      </c>
      <c r="T40">
        <f>'Formato 5'!F48</f>
        <v>119395161</v>
      </c>
      <c r="U40">
        <f>'Formato 5'!G48</f>
        <v>5764892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57678372</v>
      </c>
      <c r="Q41">
        <f>'Formato 5'!C49</f>
        <v>5319646</v>
      </c>
      <c r="R41">
        <f>'Formato 5'!D49</f>
        <v>62998018</v>
      </c>
      <c r="S41">
        <f>'Formato 5'!E49</f>
        <v>62998018</v>
      </c>
      <c r="T41">
        <f>'Formato 5'!F49</f>
        <v>62998018</v>
      </c>
      <c r="U41">
        <f>'Formato 5'!G49</f>
        <v>5319646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39471153.960000001</v>
      </c>
      <c r="R46">
        <f>'Formato 5'!D54</f>
        <v>39471153.960000001</v>
      </c>
      <c r="S46">
        <f>'Formato 5'!E54</f>
        <v>36054503.859999999</v>
      </c>
      <c r="T46">
        <f>'Formato 5'!F54</f>
        <v>35174810.170000002</v>
      </c>
      <c r="U46">
        <f>'Formato 5'!G54</f>
        <v>35174810.170000002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39471153.960000001</v>
      </c>
      <c r="R50">
        <f>'Formato 5'!D58</f>
        <v>39471153.960000001</v>
      </c>
      <c r="S50">
        <f>'Formato 5'!E58</f>
        <v>36054503.859999999</v>
      </c>
      <c r="T50">
        <f>'Formato 5'!F58</f>
        <v>35174810.170000002</v>
      </c>
      <c r="U50">
        <f>'Formato 5'!G58</f>
        <v>35174810.170000002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5068932.57</v>
      </c>
      <c r="R55">
        <f>'Formato 5'!D63</f>
        <v>5068932.57</v>
      </c>
      <c r="S55">
        <f>'Formato 5'!E63</f>
        <v>5380211.3600000003</v>
      </c>
      <c r="T55">
        <f>'Formato 5'!F63</f>
        <v>5380211.3600000003</v>
      </c>
      <c r="U55">
        <f>'Formato 5'!G63</f>
        <v>5380211.3600000003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171308641</v>
      </c>
      <c r="Q56">
        <f>'Formato 5'!C65</f>
        <v>55624624.530000001</v>
      </c>
      <c r="R56">
        <f>'Formato 5'!D65</f>
        <v>226933265.53</v>
      </c>
      <c r="S56">
        <f>'Formato 5'!E65</f>
        <v>223827894.22000003</v>
      </c>
      <c r="T56">
        <f>'Formato 5'!F65</f>
        <v>222948200.53000003</v>
      </c>
      <c r="U56">
        <f>'Formato 5'!G65</f>
        <v>51639559.530000001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31392090.309999999</v>
      </c>
      <c r="R60">
        <f>'Formato 5'!D73</f>
        <v>31392090.309999999</v>
      </c>
      <c r="S60">
        <f>'Formato 5'!E73</f>
        <v>31392090.309999999</v>
      </c>
      <c r="T60">
        <f>'Formato 5'!F73</f>
        <v>31392090.309999999</v>
      </c>
      <c r="U60">
        <f>'Formato 5'!G73</f>
        <v>31392090.309999999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77515618.790000007</v>
      </c>
      <c r="R61">
        <f>'Formato 5'!D74</f>
        <v>77515618.790000007</v>
      </c>
      <c r="S61">
        <f>'Formato 5'!E74</f>
        <v>77515618.790000007</v>
      </c>
      <c r="T61">
        <f>'Formato 5'!F74</f>
        <v>77515618.790000007</v>
      </c>
      <c r="U61">
        <f>'Formato 5'!G74</f>
        <v>77515618.790000007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108907709.10000001</v>
      </c>
      <c r="R62">
        <f>'Formato 5'!D75</f>
        <v>108907709.10000001</v>
      </c>
      <c r="S62">
        <f>'Formato 5'!E75</f>
        <v>108907709.10000001</v>
      </c>
      <c r="T62">
        <f>'Formato 5'!F75</f>
        <v>108907709.10000001</v>
      </c>
      <c r="U62">
        <f>'Formato 5'!G75</f>
        <v>108907709.10000001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124" zoomScale="70" zoomScaleNormal="70" zoomScalePageLayoutView="90" workbookViewId="0">
      <selection activeCell="G159" sqref="G15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7" t="s">
        <v>3286</v>
      </c>
      <c r="B1" s="176"/>
      <c r="C1" s="176"/>
      <c r="D1" s="176"/>
      <c r="E1" s="176"/>
      <c r="F1" s="176"/>
      <c r="G1" s="176"/>
    </row>
    <row r="2" spans="1:7" ht="14.25" x14ac:dyDescent="0.45">
      <c r="A2" s="180" t="str">
        <f>ENTE_PUBLICO_A</f>
        <v>ORGANISMO, Gobierno del Estado de Guanajuato (a)</v>
      </c>
      <c r="B2" s="180"/>
      <c r="C2" s="180"/>
      <c r="D2" s="180"/>
      <c r="E2" s="180"/>
      <c r="F2" s="180"/>
      <c r="G2" s="180"/>
    </row>
    <row r="3" spans="1:7" x14ac:dyDescent="0.25">
      <c r="A3" s="181" t="s">
        <v>277</v>
      </c>
      <c r="B3" s="181"/>
      <c r="C3" s="181"/>
      <c r="D3" s="181"/>
      <c r="E3" s="181"/>
      <c r="F3" s="181"/>
      <c r="G3" s="181"/>
    </row>
    <row r="4" spans="1:7" x14ac:dyDescent="0.25">
      <c r="A4" s="181" t="s">
        <v>278</v>
      </c>
      <c r="B4" s="181"/>
      <c r="C4" s="181"/>
      <c r="D4" s="181"/>
      <c r="E4" s="181"/>
      <c r="F4" s="181"/>
      <c r="G4" s="181"/>
    </row>
    <row r="5" spans="1:7" ht="14.25" x14ac:dyDescent="0.45">
      <c r="A5" s="182" t="str">
        <f>TRIMESTRE</f>
        <v>Del 1 de enero al 31 de diciembre de 2017 (b)</v>
      </c>
      <c r="B5" s="182"/>
      <c r="C5" s="182"/>
      <c r="D5" s="182"/>
      <c r="E5" s="182"/>
      <c r="F5" s="182"/>
      <c r="G5" s="182"/>
    </row>
    <row r="6" spans="1:7" ht="14.25" x14ac:dyDescent="0.45">
      <c r="A6" s="174" t="s">
        <v>118</v>
      </c>
      <c r="B6" s="174"/>
      <c r="C6" s="174"/>
      <c r="D6" s="174"/>
      <c r="E6" s="174"/>
      <c r="F6" s="174"/>
      <c r="G6" s="174"/>
    </row>
    <row r="7" spans="1:7" ht="15" customHeight="1" x14ac:dyDescent="0.25">
      <c r="A7" s="178" t="s">
        <v>0</v>
      </c>
      <c r="B7" s="178" t="s">
        <v>279</v>
      </c>
      <c r="C7" s="178"/>
      <c r="D7" s="178"/>
      <c r="E7" s="178"/>
      <c r="F7" s="178"/>
      <c r="G7" s="179" t="s">
        <v>280</v>
      </c>
    </row>
    <row r="8" spans="1:7" ht="30" x14ac:dyDescent="0.25">
      <c r="A8" s="178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8"/>
    </row>
    <row r="9" spans="1:7" ht="14.25" x14ac:dyDescent="0.45">
      <c r="A9" s="82" t="s">
        <v>285</v>
      </c>
      <c r="B9" s="79">
        <f>SUM(B10,B18,B28,B38,B48,B58,B62,B71,B75)</f>
        <v>113994961.99999999</v>
      </c>
      <c r="C9" s="79">
        <f t="shared" ref="C9:G9" si="0">SUM(C10,C18,C28,C38,C48,C58,C62,C71,C75)</f>
        <v>70380286.659999996</v>
      </c>
      <c r="D9" s="79">
        <f t="shared" si="0"/>
        <v>184375248.66000003</v>
      </c>
      <c r="E9" s="79">
        <f t="shared" si="0"/>
        <v>154729062.47</v>
      </c>
      <c r="F9" s="79">
        <f t="shared" si="0"/>
        <v>152039958.75000003</v>
      </c>
      <c r="G9" s="79">
        <f t="shared" si="0"/>
        <v>29646186.189999998</v>
      </c>
    </row>
    <row r="10" spans="1:7" x14ac:dyDescent="0.25">
      <c r="A10" s="83" t="s">
        <v>286</v>
      </c>
      <c r="B10" s="80">
        <f>SUM(B11:B17)</f>
        <v>78606976.539999992</v>
      </c>
      <c r="C10" s="80">
        <f t="shared" ref="C10:F10" si="1">SUM(C11:C17)</f>
        <v>221225.11</v>
      </c>
      <c r="D10" s="80">
        <f t="shared" si="1"/>
        <v>78828201.650000006</v>
      </c>
      <c r="E10" s="80">
        <f t="shared" si="1"/>
        <v>72325472.420000002</v>
      </c>
      <c r="F10" s="80">
        <f t="shared" si="1"/>
        <v>70977935.13000001</v>
      </c>
      <c r="G10" s="80">
        <f>SUM(G11:G17)</f>
        <v>6502729.2299999986</v>
      </c>
    </row>
    <row r="11" spans="1:7" x14ac:dyDescent="0.25">
      <c r="A11" s="84" t="s">
        <v>287</v>
      </c>
      <c r="B11" s="153">
        <v>43622461.32</v>
      </c>
      <c r="C11" s="153">
        <v>-30000</v>
      </c>
      <c r="D11" s="153">
        <v>43592461.32</v>
      </c>
      <c r="E11" s="153">
        <v>40900056.060000002</v>
      </c>
      <c r="F11" s="153">
        <v>40900056.060000002</v>
      </c>
      <c r="G11" s="80">
        <f>D11-E11</f>
        <v>2692405.2599999979</v>
      </c>
    </row>
    <row r="12" spans="1:7" x14ac:dyDescent="0.25">
      <c r="A12" s="84" t="s">
        <v>288</v>
      </c>
      <c r="B12" s="153">
        <v>30000</v>
      </c>
      <c r="C12" s="80">
        <v>0</v>
      </c>
      <c r="D12" s="153">
        <v>30000</v>
      </c>
      <c r="E12" s="153">
        <v>9792.24</v>
      </c>
      <c r="F12" s="153">
        <v>9792.24</v>
      </c>
      <c r="G12" s="80">
        <f>D12-E12</f>
        <v>20207.760000000002</v>
      </c>
    </row>
    <row r="13" spans="1:7" ht="14.25" customHeight="1" x14ac:dyDescent="0.25">
      <c r="A13" s="84" t="s">
        <v>289</v>
      </c>
      <c r="B13" s="153">
        <v>6898301.8200000003</v>
      </c>
      <c r="C13" s="153">
        <v>28225.11</v>
      </c>
      <c r="D13" s="153">
        <v>6926526.9299999997</v>
      </c>
      <c r="E13" s="153">
        <v>6462954.1799999997</v>
      </c>
      <c r="F13" s="153">
        <v>6462954.1799999997</v>
      </c>
      <c r="G13" s="80">
        <f t="shared" ref="G13:G17" si="2">D13-E13</f>
        <v>463572.75</v>
      </c>
    </row>
    <row r="14" spans="1:7" ht="14.25" customHeight="1" x14ac:dyDescent="0.25">
      <c r="A14" s="84" t="s">
        <v>290</v>
      </c>
      <c r="B14" s="153">
        <v>12570038.76</v>
      </c>
      <c r="C14" s="153">
        <v>267000</v>
      </c>
      <c r="D14" s="153">
        <v>12837038.76</v>
      </c>
      <c r="E14" s="153">
        <v>10254864.93</v>
      </c>
      <c r="F14" s="153">
        <v>8907327.6400000006</v>
      </c>
      <c r="G14" s="80">
        <f t="shared" si="2"/>
        <v>2582173.83</v>
      </c>
    </row>
    <row r="15" spans="1:7" x14ac:dyDescent="0.25">
      <c r="A15" s="84" t="s">
        <v>291</v>
      </c>
      <c r="B15" s="153">
        <v>15486174.640000001</v>
      </c>
      <c r="C15" s="153">
        <v>-44000</v>
      </c>
      <c r="D15" s="153">
        <v>15442174.640000001</v>
      </c>
      <c r="E15" s="153">
        <v>14697805.01</v>
      </c>
      <c r="F15" s="153">
        <v>14697805.01</v>
      </c>
      <c r="G15" s="80">
        <f t="shared" si="2"/>
        <v>744369.63000000082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>SUM(B19:B27)</f>
        <v>10052382.52</v>
      </c>
      <c r="C18" s="80">
        <f t="shared" ref="C18:F18" si="3">SUM(C19:C27)</f>
        <v>7642314.8500000006</v>
      </c>
      <c r="D18" s="80">
        <f t="shared" si="3"/>
        <v>17694697.369999997</v>
      </c>
      <c r="E18" s="80">
        <f t="shared" si="3"/>
        <v>15147013.269999998</v>
      </c>
      <c r="F18" s="80">
        <f t="shared" si="3"/>
        <v>15147423.279999999</v>
      </c>
      <c r="G18" s="80">
        <f>SUM(G19:G27)</f>
        <v>2547684.0999999996</v>
      </c>
    </row>
    <row r="19" spans="1:7" x14ac:dyDescent="0.25">
      <c r="A19" s="84" t="s">
        <v>295</v>
      </c>
      <c r="B19" s="80">
        <v>1197349.6000000001</v>
      </c>
      <c r="C19" s="80">
        <v>379378.96</v>
      </c>
      <c r="D19" s="80">
        <v>1576728.56</v>
      </c>
      <c r="E19" s="80">
        <v>1436002.91</v>
      </c>
      <c r="F19" s="80">
        <v>1436002.91</v>
      </c>
      <c r="G19" s="80">
        <f>D19-E19</f>
        <v>140725.65000000014</v>
      </c>
    </row>
    <row r="20" spans="1:7" x14ac:dyDescent="0.25">
      <c r="A20" s="84" t="s">
        <v>296</v>
      </c>
      <c r="B20" s="80">
        <v>178203.51999999999</v>
      </c>
      <c r="C20" s="80">
        <v>113925.25</v>
      </c>
      <c r="D20" s="80">
        <v>292128.77</v>
      </c>
      <c r="E20" s="80">
        <v>242520.95999999999</v>
      </c>
      <c r="F20" s="80">
        <v>242520.95999999999</v>
      </c>
      <c r="G20" s="80">
        <f t="shared" ref="G20:G27" si="4">D20-E20</f>
        <v>49607.810000000027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1502982.93</v>
      </c>
      <c r="C22" s="80">
        <v>1832839.46</v>
      </c>
      <c r="D22" s="80">
        <v>3335822.3899999997</v>
      </c>
      <c r="E22" s="80">
        <v>2858994.18</v>
      </c>
      <c r="F22" s="80">
        <v>2859404.19</v>
      </c>
      <c r="G22" s="80">
        <f t="shared" si="4"/>
        <v>476828.2099999995</v>
      </c>
    </row>
    <row r="23" spans="1:7" x14ac:dyDescent="0.25">
      <c r="A23" s="84" t="s">
        <v>299</v>
      </c>
      <c r="B23" s="80">
        <v>38240</v>
      </c>
      <c r="C23" s="80">
        <v>-17326.25</v>
      </c>
      <c r="D23" s="80">
        <v>20913.75</v>
      </c>
      <c r="E23" s="80">
        <v>16722.18</v>
      </c>
      <c r="F23" s="80">
        <v>16722.18</v>
      </c>
      <c r="G23" s="80">
        <f t="shared" si="4"/>
        <v>4191.57</v>
      </c>
    </row>
    <row r="24" spans="1:7" x14ac:dyDescent="0.25">
      <c r="A24" s="84" t="s">
        <v>300</v>
      </c>
      <c r="B24" s="80">
        <v>5007693.2699999996</v>
      </c>
      <c r="C24" s="80">
        <v>1486006.97</v>
      </c>
      <c r="D24" s="80">
        <v>6493700.2399999993</v>
      </c>
      <c r="E24" s="80">
        <v>6350908.0999999996</v>
      </c>
      <c r="F24" s="80">
        <v>6350908.0999999996</v>
      </c>
      <c r="G24" s="80">
        <f t="shared" si="4"/>
        <v>142792.13999999966</v>
      </c>
    </row>
    <row r="25" spans="1:7" x14ac:dyDescent="0.25">
      <c r="A25" s="84" t="s">
        <v>301</v>
      </c>
      <c r="B25" s="80">
        <v>75618</v>
      </c>
      <c r="C25" s="80">
        <v>1079827.52</v>
      </c>
      <c r="D25" s="80">
        <v>1155445.52</v>
      </c>
      <c r="E25" s="80">
        <v>1131683.5</v>
      </c>
      <c r="F25" s="80">
        <v>1131683.5</v>
      </c>
      <c r="G25" s="80">
        <f t="shared" si="4"/>
        <v>23762.020000000019</v>
      </c>
    </row>
    <row r="26" spans="1:7" x14ac:dyDescent="0.25">
      <c r="A26" s="84" t="s">
        <v>302</v>
      </c>
      <c r="B26" s="80">
        <v>0</v>
      </c>
      <c r="C26" s="80">
        <v>2075526.12</v>
      </c>
      <c r="D26" s="80">
        <v>2075526.12</v>
      </c>
      <c r="E26" s="80">
        <v>803659.6</v>
      </c>
      <c r="F26" s="80">
        <v>803659.6</v>
      </c>
      <c r="G26" s="80">
        <f t="shared" si="4"/>
        <v>1271866.52</v>
      </c>
    </row>
    <row r="27" spans="1:7" x14ac:dyDescent="0.25">
      <c r="A27" s="84" t="s">
        <v>303</v>
      </c>
      <c r="B27" s="80">
        <v>2052295.2</v>
      </c>
      <c r="C27" s="80">
        <v>692136.82</v>
      </c>
      <c r="D27" s="80">
        <v>2744432.02</v>
      </c>
      <c r="E27" s="80">
        <v>2306521.84</v>
      </c>
      <c r="F27" s="80">
        <v>2306521.84</v>
      </c>
      <c r="G27" s="80">
        <f t="shared" si="4"/>
        <v>437910.18000000017</v>
      </c>
    </row>
    <row r="28" spans="1:7" x14ac:dyDescent="0.25">
      <c r="A28" s="83" t="s">
        <v>304</v>
      </c>
      <c r="B28" s="80">
        <f>SUM(B29:B37)</f>
        <v>11200313.690000001</v>
      </c>
      <c r="C28" s="80">
        <f t="shared" ref="C28:G28" si="5">SUM(C29:C37)</f>
        <v>10153186.83</v>
      </c>
      <c r="D28" s="80">
        <f t="shared" si="5"/>
        <v>21353500.520000003</v>
      </c>
      <c r="E28" s="80">
        <f t="shared" si="5"/>
        <v>17421846.169999998</v>
      </c>
      <c r="F28" s="80">
        <f t="shared" si="5"/>
        <v>17214245.82</v>
      </c>
      <c r="G28" s="80">
        <f t="shared" si="5"/>
        <v>3931654.3500000015</v>
      </c>
    </row>
    <row r="29" spans="1:7" x14ac:dyDescent="0.25">
      <c r="A29" s="84" t="s">
        <v>305</v>
      </c>
      <c r="B29" s="80">
        <v>1484171.47</v>
      </c>
      <c r="C29" s="80">
        <v>388392.4</v>
      </c>
      <c r="D29" s="80">
        <v>1872563.87</v>
      </c>
      <c r="E29" s="80">
        <v>1593548.27</v>
      </c>
      <c r="F29" s="80">
        <v>1593548.27</v>
      </c>
      <c r="G29" s="80">
        <f>D29-E29</f>
        <v>279015.60000000009</v>
      </c>
    </row>
    <row r="30" spans="1:7" x14ac:dyDescent="0.25">
      <c r="A30" s="84" t="s">
        <v>306</v>
      </c>
      <c r="B30" s="80">
        <v>1190530.1399999999</v>
      </c>
      <c r="C30" s="80">
        <v>310443.23</v>
      </c>
      <c r="D30" s="80">
        <v>1500973.3699999999</v>
      </c>
      <c r="E30" s="80">
        <v>1416067.98</v>
      </c>
      <c r="F30" s="80">
        <v>1416067.98</v>
      </c>
      <c r="G30" s="80">
        <f t="shared" ref="G30:G37" si="6">D30-E30</f>
        <v>84905.389999999898</v>
      </c>
    </row>
    <row r="31" spans="1:7" x14ac:dyDescent="0.25">
      <c r="A31" s="84" t="s">
        <v>307</v>
      </c>
      <c r="B31" s="80">
        <v>1567591.31</v>
      </c>
      <c r="C31" s="80">
        <v>4557236.58</v>
      </c>
      <c r="D31" s="80">
        <v>6124827.8900000006</v>
      </c>
      <c r="E31" s="80">
        <v>5372278.0999999996</v>
      </c>
      <c r="F31" s="80">
        <v>5372278.0999999996</v>
      </c>
      <c r="G31" s="80">
        <f t="shared" si="6"/>
        <v>752549.79000000097</v>
      </c>
    </row>
    <row r="32" spans="1:7" x14ac:dyDescent="0.25">
      <c r="A32" s="84" t="s">
        <v>308</v>
      </c>
      <c r="B32" s="80">
        <v>934177.11</v>
      </c>
      <c r="C32" s="80">
        <v>139697.41</v>
      </c>
      <c r="D32" s="80">
        <v>1073874.52</v>
      </c>
      <c r="E32" s="80">
        <v>919090.77</v>
      </c>
      <c r="F32" s="80">
        <v>919090.77</v>
      </c>
      <c r="G32" s="80">
        <f t="shared" si="6"/>
        <v>154783.75</v>
      </c>
    </row>
    <row r="33" spans="1:7" x14ac:dyDescent="0.25">
      <c r="A33" s="84" t="s">
        <v>309</v>
      </c>
      <c r="B33" s="80">
        <v>1249473.26</v>
      </c>
      <c r="C33" s="80">
        <v>118073.54</v>
      </c>
      <c r="D33" s="80">
        <v>1367546.8</v>
      </c>
      <c r="E33" s="80">
        <v>1045964.67</v>
      </c>
      <c r="F33" s="80">
        <v>1035804.49</v>
      </c>
      <c r="G33" s="80">
        <f t="shared" si="6"/>
        <v>321582.13</v>
      </c>
    </row>
    <row r="34" spans="1:7" x14ac:dyDescent="0.25">
      <c r="A34" s="84" t="s">
        <v>310</v>
      </c>
      <c r="B34" s="80">
        <v>608469.04</v>
      </c>
      <c r="C34" s="80">
        <v>-103000</v>
      </c>
      <c r="D34" s="80">
        <v>505469.04000000004</v>
      </c>
      <c r="E34" s="80">
        <v>480060.42</v>
      </c>
      <c r="F34" s="80">
        <v>480060.42</v>
      </c>
      <c r="G34" s="80">
        <f t="shared" si="6"/>
        <v>25408.620000000054</v>
      </c>
    </row>
    <row r="35" spans="1:7" x14ac:dyDescent="0.25">
      <c r="A35" s="84" t="s">
        <v>311</v>
      </c>
      <c r="B35" s="80">
        <v>212722.59</v>
      </c>
      <c r="C35" s="80">
        <v>-26803.96</v>
      </c>
      <c r="D35" s="80">
        <v>185918.63</v>
      </c>
      <c r="E35" s="80">
        <v>125090.56</v>
      </c>
      <c r="F35" s="80">
        <v>125090.56</v>
      </c>
      <c r="G35" s="80">
        <f t="shared" si="6"/>
        <v>60828.070000000007</v>
      </c>
    </row>
    <row r="36" spans="1:7" x14ac:dyDescent="0.25">
      <c r="A36" s="84" t="s">
        <v>312</v>
      </c>
      <c r="B36" s="80">
        <v>2145695.63</v>
      </c>
      <c r="C36" s="80">
        <v>3093433.97</v>
      </c>
      <c r="D36" s="80">
        <v>5239129.5999999996</v>
      </c>
      <c r="E36" s="80">
        <v>4809120.93</v>
      </c>
      <c r="F36" s="80">
        <v>4809120.93</v>
      </c>
      <c r="G36" s="80">
        <f t="shared" si="6"/>
        <v>430008.66999999993</v>
      </c>
    </row>
    <row r="37" spans="1:7" x14ac:dyDescent="0.25">
      <c r="A37" s="84" t="s">
        <v>313</v>
      </c>
      <c r="B37" s="80">
        <v>1807483.14</v>
      </c>
      <c r="C37" s="80">
        <v>1675713.66</v>
      </c>
      <c r="D37" s="80">
        <v>3483196.8</v>
      </c>
      <c r="E37" s="80">
        <v>1660624.47</v>
      </c>
      <c r="F37" s="80">
        <v>1463184.3</v>
      </c>
      <c r="G37" s="80">
        <f t="shared" si="6"/>
        <v>1822572.3299999998</v>
      </c>
    </row>
    <row r="38" spans="1:7" x14ac:dyDescent="0.25">
      <c r="A38" s="83" t="s">
        <v>314</v>
      </c>
      <c r="B38" s="80">
        <f>SUM(B39:B47)</f>
        <v>14068970.25</v>
      </c>
      <c r="C38" s="80">
        <f t="shared" ref="C38:G38" si="7">SUM(C39:C47)</f>
        <v>9538505.6799999997</v>
      </c>
      <c r="D38" s="80">
        <f t="shared" si="7"/>
        <v>23607475.93</v>
      </c>
      <c r="E38" s="80">
        <f t="shared" si="7"/>
        <v>21689215.120000001</v>
      </c>
      <c r="F38" s="80">
        <f t="shared" si="7"/>
        <v>21688519.120000001</v>
      </c>
      <c r="G38" s="80">
        <f t="shared" si="7"/>
        <v>1918260.8100000005</v>
      </c>
    </row>
    <row r="39" spans="1:7" x14ac:dyDescent="0.25">
      <c r="A39" s="84" t="s">
        <v>315</v>
      </c>
      <c r="B39" s="80">
        <v>0</v>
      </c>
      <c r="C39" s="80">
        <v>10806000</v>
      </c>
      <c r="D39" s="80">
        <v>10806000</v>
      </c>
      <c r="E39" s="80">
        <v>10806000</v>
      </c>
      <c r="F39" s="80">
        <v>10806000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225810</v>
      </c>
      <c r="D40" s="80">
        <v>225810</v>
      </c>
      <c r="E40" s="80">
        <v>225810</v>
      </c>
      <c r="F40" s="80">
        <v>225810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7934561.8700000001</v>
      </c>
      <c r="D41" s="80">
        <v>7934561.8700000001</v>
      </c>
      <c r="E41" s="80">
        <v>7422433.3700000001</v>
      </c>
      <c r="F41" s="80">
        <v>7421737.3700000001</v>
      </c>
      <c r="G41" s="80">
        <f t="shared" si="8"/>
        <v>512128.5</v>
      </c>
    </row>
    <row r="42" spans="1:7" x14ac:dyDescent="0.25">
      <c r="A42" s="84" t="s">
        <v>318</v>
      </c>
      <c r="B42" s="80">
        <v>3176470.25</v>
      </c>
      <c r="C42" s="80">
        <v>1227133.81</v>
      </c>
      <c r="D42" s="80">
        <v>4403604.0600000005</v>
      </c>
      <c r="E42" s="80">
        <v>2997732.65</v>
      </c>
      <c r="F42" s="80">
        <v>2997732.65</v>
      </c>
      <c r="G42" s="80">
        <f t="shared" si="8"/>
        <v>1405871.4100000006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10892500</v>
      </c>
      <c r="C46" s="80">
        <v>-10655000</v>
      </c>
      <c r="D46" s="80">
        <v>237500</v>
      </c>
      <c r="E46" s="80">
        <v>237239.1</v>
      </c>
      <c r="F46" s="80">
        <v>237239.1</v>
      </c>
      <c r="G46" s="80">
        <f t="shared" si="8"/>
        <v>260.89999999999418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66319</v>
      </c>
      <c r="C48" s="80">
        <f t="shared" ref="C48:G48" si="9">SUM(C49:C57)</f>
        <v>7328295.9799999995</v>
      </c>
      <c r="D48" s="80">
        <f t="shared" si="9"/>
        <v>7394614.9799999995</v>
      </c>
      <c r="E48" s="80">
        <f t="shared" si="9"/>
        <v>5702793.7999999989</v>
      </c>
      <c r="F48" s="80">
        <f t="shared" si="9"/>
        <v>5692775.1099999994</v>
      </c>
      <c r="G48" s="80">
        <f t="shared" si="9"/>
        <v>1691821.1800000002</v>
      </c>
    </row>
    <row r="49" spans="1:7" x14ac:dyDescent="0.25">
      <c r="A49" s="84" t="s">
        <v>325</v>
      </c>
      <c r="B49" s="80">
        <v>37500</v>
      </c>
      <c r="C49" s="80">
        <v>1294871.6000000001</v>
      </c>
      <c r="D49" s="80">
        <v>1332371.6000000001</v>
      </c>
      <c r="E49" s="80">
        <v>1243441.24</v>
      </c>
      <c r="F49" s="80">
        <v>1243441.24</v>
      </c>
      <c r="G49" s="80">
        <f>D49-E49</f>
        <v>88930.360000000102</v>
      </c>
    </row>
    <row r="50" spans="1:7" x14ac:dyDescent="0.25">
      <c r="A50" s="84" t="s">
        <v>326</v>
      </c>
      <c r="B50" s="80">
        <v>0</v>
      </c>
      <c r="C50" s="80">
        <v>540952</v>
      </c>
      <c r="D50" s="80">
        <v>540952</v>
      </c>
      <c r="E50" s="80">
        <v>521506.05</v>
      </c>
      <c r="F50" s="80">
        <v>521506.05</v>
      </c>
      <c r="G50" s="80">
        <f t="shared" ref="G50:G57" si="10">D50-E50</f>
        <v>19445.950000000012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3721700</v>
      </c>
      <c r="D52" s="80">
        <v>3721700</v>
      </c>
      <c r="E52" s="80">
        <v>3630656.82</v>
      </c>
      <c r="F52" s="80">
        <v>3630656.82</v>
      </c>
      <c r="G52" s="80">
        <f t="shared" si="10"/>
        <v>91043.180000000168</v>
      </c>
    </row>
    <row r="53" spans="1:7" x14ac:dyDescent="0.25">
      <c r="A53" s="84" t="s">
        <v>329</v>
      </c>
      <c r="B53" s="80">
        <v>0</v>
      </c>
      <c r="C53" s="80">
        <v>1385996.88</v>
      </c>
      <c r="D53" s="80">
        <v>1385996.88</v>
      </c>
      <c r="E53" s="80">
        <v>0</v>
      </c>
      <c r="F53" s="80">
        <v>0</v>
      </c>
      <c r="G53" s="80">
        <f t="shared" si="10"/>
        <v>1385996.88</v>
      </c>
    </row>
    <row r="54" spans="1:7" x14ac:dyDescent="0.25">
      <c r="A54" s="84" t="s">
        <v>330</v>
      </c>
      <c r="B54" s="80">
        <v>9820</v>
      </c>
      <c r="C54" s="80">
        <v>192836</v>
      </c>
      <c r="D54" s="80">
        <v>202656</v>
      </c>
      <c r="E54" s="80">
        <v>180087.05</v>
      </c>
      <c r="F54" s="80">
        <v>170068.36</v>
      </c>
      <c r="G54" s="80">
        <f t="shared" si="10"/>
        <v>22568.950000000012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99782.86</v>
      </c>
      <c r="D56" s="80">
        <v>99782.86</v>
      </c>
      <c r="E56" s="80">
        <v>18000</v>
      </c>
      <c r="F56" s="80">
        <v>18000</v>
      </c>
      <c r="G56" s="80">
        <f t="shared" si="10"/>
        <v>81782.86</v>
      </c>
    </row>
    <row r="57" spans="1:7" x14ac:dyDescent="0.25">
      <c r="A57" s="84" t="s">
        <v>333</v>
      </c>
      <c r="B57" s="80">
        <v>18999</v>
      </c>
      <c r="C57" s="80">
        <v>92156.64</v>
      </c>
      <c r="D57" s="80">
        <v>111155.64</v>
      </c>
      <c r="E57" s="80">
        <v>109102.64</v>
      </c>
      <c r="F57" s="80">
        <v>109102.64</v>
      </c>
      <c r="G57" s="80">
        <f t="shared" si="10"/>
        <v>2053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29486212.870000001</v>
      </c>
      <c r="D58" s="80">
        <f t="shared" si="11"/>
        <v>29486212.870000001</v>
      </c>
      <c r="E58" s="80">
        <f t="shared" si="11"/>
        <v>17138619.129999999</v>
      </c>
      <c r="F58" s="80">
        <f t="shared" si="11"/>
        <v>16014957.73</v>
      </c>
      <c r="G58" s="80">
        <f t="shared" si="11"/>
        <v>12347593.74</v>
      </c>
    </row>
    <row r="59" spans="1:7" x14ac:dyDescent="0.25">
      <c r="A59" s="84" t="s">
        <v>335</v>
      </c>
      <c r="B59" s="80">
        <v>0</v>
      </c>
      <c r="C59" s="80">
        <v>26397688.93</v>
      </c>
      <c r="D59" s="80">
        <v>26397688.93</v>
      </c>
      <c r="E59" s="80">
        <v>16117317.59</v>
      </c>
      <c r="F59" s="80">
        <v>14993656.189999999</v>
      </c>
      <c r="G59" s="80">
        <f>D59-E59</f>
        <v>10280371.34</v>
      </c>
    </row>
    <row r="60" spans="1:7" x14ac:dyDescent="0.25">
      <c r="A60" s="84" t="s">
        <v>336</v>
      </c>
      <c r="B60" s="80">
        <v>0</v>
      </c>
      <c r="C60" s="80">
        <v>3088523.94</v>
      </c>
      <c r="D60" s="80">
        <v>3088523.94</v>
      </c>
      <c r="E60" s="80">
        <v>1021301.54</v>
      </c>
      <c r="F60" s="80">
        <v>1021301.54</v>
      </c>
      <c r="G60" s="80">
        <f t="shared" ref="G60:G61" si="12">D60-E60</f>
        <v>2067222.4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3302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495190.63</v>
      </c>
      <c r="D71" s="80">
        <f t="shared" si="15"/>
        <v>495190.63</v>
      </c>
      <c r="E71" s="80">
        <f t="shared" si="15"/>
        <v>217457.75</v>
      </c>
      <c r="F71" s="80">
        <f t="shared" si="15"/>
        <v>217457.75</v>
      </c>
      <c r="G71" s="80">
        <f t="shared" si="15"/>
        <v>277732.88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495190.63</v>
      </c>
      <c r="D74" s="80">
        <v>495190.63</v>
      </c>
      <c r="E74" s="80">
        <v>217457.75</v>
      </c>
      <c r="F74" s="80">
        <v>217457.75</v>
      </c>
      <c r="G74" s="80">
        <f t="shared" si="16"/>
        <v>277732.88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5515354.71</v>
      </c>
      <c r="D75" s="80">
        <f t="shared" si="17"/>
        <v>5515354.71</v>
      </c>
      <c r="E75" s="80">
        <f t="shared" si="17"/>
        <v>5086644.8099999996</v>
      </c>
      <c r="F75" s="80">
        <f t="shared" si="17"/>
        <v>5086644.8099999996</v>
      </c>
      <c r="G75" s="80">
        <f t="shared" si="17"/>
        <v>428709.90000000037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5515354.71</v>
      </c>
      <c r="D82" s="80">
        <v>5515354.71</v>
      </c>
      <c r="E82" s="80">
        <v>5086644.8099999996</v>
      </c>
      <c r="F82" s="80">
        <v>5086644.8099999996</v>
      </c>
      <c r="G82" s="80">
        <f t="shared" si="18"/>
        <v>428709.90000000037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171308641</v>
      </c>
      <c r="C84" s="79">
        <f t="shared" ref="C84:G84" si="19">SUM(C85,C93,C103,C113,C123,C133,C137,C146,C150)</f>
        <v>133140243.32000001</v>
      </c>
      <c r="D84" s="79">
        <f t="shared" si="19"/>
        <v>304448884.31999999</v>
      </c>
      <c r="E84" s="79">
        <f t="shared" si="19"/>
        <v>217261859.41999996</v>
      </c>
      <c r="F84" s="79">
        <f t="shared" si="19"/>
        <v>197539544.80999997</v>
      </c>
      <c r="G84" s="79">
        <f t="shared" si="19"/>
        <v>87187024.900000006</v>
      </c>
    </row>
    <row r="85" spans="1:7" x14ac:dyDescent="0.25">
      <c r="A85" s="83" t="s">
        <v>286</v>
      </c>
      <c r="B85" s="80">
        <f>SUM(B86:B92)</f>
        <v>33742839.899999991</v>
      </c>
      <c r="C85" s="80">
        <f t="shared" ref="C85:G85" si="20">SUM(C86:C92)</f>
        <v>-1534291.83</v>
      </c>
      <c r="D85" s="80">
        <f t="shared" si="20"/>
        <v>32208548.07</v>
      </c>
      <c r="E85" s="80">
        <f t="shared" si="20"/>
        <v>31327084.609999999</v>
      </c>
      <c r="F85" s="80">
        <f t="shared" si="20"/>
        <v>30671706.669999998</v>
      </c>
      <c r="G85" s="80">
        <f t="shared" si="20"/>
        <v>881463.45999999857</v>
      </c>
    </row>
    <row r="86" spans="1:7" x14ac:dyDescent="0.25">
      <c r="A86" s="84" t="s">
        <v>287</v>
      </c>
      <c r="B86" s="80">
        <v>17081367.149999999</v>
      </c>
      <c r="C86" s="80">
        <v>189805.68</v>
      </c>
      <c r="D86" s="80">
        <v>17271172.829999998</v>
      </c>
      <c r="E86" s="80">
        <v>16808930.710000001</v>
      </c>
      <c r="F86" s="80">
        <v>16808930.710000001</v>
      </c>
      <c r="G86" s="80">
        <f>D86-E86</f>
        <v>462242.11999999732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21">D87-E87</f>
        <v>0</v>
      </c>
    </row>
    <row r="88" spans="1:7" x14ac:dyDescent="0.25">
      <c r="A88" s="84" t="s">
        <v>289</v>
      </c>
      <c r="B88" s="80">
        <v>2653008.2200000002</v>
      </c>
      <c r="C88" s="80">
        <v>44789.599999999999</v>
      </c>
      <c r="D88" s="80">
        <v>2697797.8200000003</v>
      </c>
      <c r="E88" s="80">
        <v>2679604.7999999998</v>
      </c>
      <c r="F88" s="80">
        <v>2679604.7999999998</v>
      </c>
      <c r="G88" s="80">
        <f t="shared" si="21"/>
        <v>18193.020000000484</v>
      </c>
    </row>
    <row r="89" spans="1:7" x14ac:dyDescent="0.25">
      <c r="A89" s="84" t="s">
        <v>290</v>
      </c>
      <c r="B89" s="80">
        <v>7223443.9000000004</v>
      </c>
      <c r="C89" s="80">
        <v>-1354399.44</v>
      </c>
      <c r="D89" s="80">
        <v>5869044.4600000009</v>
      </c>
      <c r="E89" s="80">
        <v>5607852.6100000003</v>
      </c>
      <c r="F89" s="80">
        <v>4952474.67</v>
      </c>
      <c r="G89" s="80">
        <f t="shared" si="21"/>
        <v>261191.85000000056</v>
      </c>
    </row>
    <row r="90" spans="1:7" x14ac:dyDescent="0.25">
      <c r="A90" s="84" t="s">
        <v>291</v>
      </c>
      <c r="B90" s="80">
        <v>4439066.9000000004</v>
      </c>
      <c r="C90" s="80">
        <v>-257390.38</v>
      </c>
      <c r="D90" s="80">
        <v>4181676.5200000005</v>
      </c>
      <c r="E90" s="80">
        <v>4110161.45</v>
      </c>
      <c r="F90" s="80">
        <v>4110161.45</v>
      </c>
      <c r="G90" s="80">
        <f t="shared" si="21"/>
        <v>71515.070000000298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2345953.73</v>
      </c>
      <c r="C92" s="80">
        <v>-157097.29</v>
      </c>
      <c r="D92" s="80">
        <v>2188856.44</v>
      </c>
      <c r="E92" s="80">
        <v>2120535.04</v>
      </c>
      <c r="F92" s="80">
        <v>2120535.04</v>
      </c>
      <c r="G92" s="80">
        <f t="shared" si="21"/>
        <v>68321.399999999907</v>
      </c>
    </row>
    <row r="93" spans="1:7" x14ac:dyDescent="0.25">
      <c r="A93" s="83" t="s">
        <v>294</v>
      </c>
      <c r="B93" s="80">
        <f>SUM(B94:B102)</f>
        <v>4181800</v>
      </c>
      <c r="C93" s="80">
        <f t="shared" ref="C93:G93" si="22">SUM(C94:C102)</f>
        <v>1746169.3700000003</v>
      </c>
      <c r="D93" s="80">
        <f t="shared" si="22"/>
        <v>5927969.3700000001</v>
      </c>
      <c r="E93" s="80">
        <f t="shared" si="22"/>
        <v>5815645.1400000006</v>
      </c>
      <c r="F93" s="80">
        <f t="shared" si="22"/>
        <v>5728315.6699999999</v>
      </c>
      <c r="G93" s="80">
        <f t="shared" si="22"/>
        <v>112324.22999999984</v>
      </c>
    </row>
    <row r="94" spans="1:7" x14ac:dyDescent="0.25">
      <c r="A94" s="84" t="s">
        <v>295</v>
      </c>
      <c r="B94" s="80">
        <v>128300</v>
      </c>
      <c r="C94" s="80">
        <v>108833.62</v>
      </c>
      <c r="D94" s="80">
        <v>237133.62</v>
      </c>
      <c r="E94" s="80">
        <v>234724.53</v>
      </c>
      <c r="F94" s="80">
        <v>203305.9</v>
      </c>
      <c r="G94" s="80">
        <f>D94-E94</f>
        <v>2409.0899999999965</v>
      </c>
    </row>
    <row r="95" spans="1:7" x14ac:dyDescent="0.25">
      <c r="A95" s="84" t="s">
        <v>296</v>
      </c>
      <c r="B95" s="80">
        <v>110500</v>
      </c>
      <c r="C95" s="80">
        <v>139540</v>
      </c>
      <c r="D95" s="80">
        <v>250040</v>
      </c>
      <c r="E95" s="80">
        <v>243218.57</v>
      </c>
      <c r="F95" s="80">
        <v>203478.57</v>
      </c>
      <c r="G95" s="80">
        <f t="shared" ref="G95:G102" si="23">D95-E95</f>
        <v>6821.429999999993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298</v>
      </c>
      <c r="B97" s="80">
        <v>32500</v>
      </c>
      <c r="C97" s="80">
        <v>528158.16</v>
      </c>
      <c r="D97" s="80">
        <v>560658.16</v>
      </c>
      <c r="E97" s="80">
        <v>558640.98</v>
      </c>
      <c r="F97" s="80">
        <v>548640.98</v>
      </c>
      <c r="G97" s="80">
        <f t="shared" si="23"/>
        <v>2017.1800000000512</v>
      </c>
    </row>
    <row r="98" spans="1:7" x14ac:dyDescent="0.25">
      <c r="A98" s="42" t="s">
        <v>299</v>
      </c>
      <c r="B98" s="80">
        <v>77000</v>
      </c>
      <c r="C98" s="80">
        <v>9329.66</v>
      </c>
      <c r="D98" s="80">
        <v>86329.66</v>
      </c>
      <c r="E98" s="80">
        <v>86319.08</v>
      </c>
      <c r="F98" s="80">
        <v>86319.08</v>
      </c>
      <c r="G98" s="80">
        <f t="shared" si="23"/>
        <v>10.580000000001746</v>
      </c>
    </row>
    <row r="99" spans="1:7" x14ac:dyDescent="0.25">
      <c r="A99" s="84" t="s">
        <v>300</v>
      </c>
      <c r="B99" s="80">
        <v>3162500</v>
      </c>
      <c r="C99" s="80">
        <v>886730.55</v>
      </c>
      <c r="D99" s="80">
        <v>4049230.55</v>
      </c>
      <c r="E99" s="80">
        <v>3957511.71</v>
      </c>
      <c r="F99" s="80">
        <v>3957511.71</v>
      </c>
      <c r="G99" s="80">
        <f t="shared" si="23"/>
        <v>91718.839999999851</v>
      </c>
    </row>
    <row r="100" spans="1:7" x14ac:dyDescent="0.25">
      <c r="A100" s="84" t="s">
        <v>301</v>
      </c>
      <c r="B100" s="80">
        <v>39500</v>
      </c>
      <c r="C100" s="80">
        <v>67904.289999999994</v>
      </c>
      <c r="D100" s="80">
        <v>107404.29</v>
      </c>
      <c r="E100" s="80">
        <v>107392.75</v>
      </c>
      <c r="F100" s="80">
        <v>107392.75</v>
      </c>
      <c r="G100" s="80">
        <f t="shared" si="23"/>
        <v>11.539999999993597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303</v>
      </c>
      <c r="B102" s="80">
        <v>631500</v>
      </c>
      <c r="C102" s="80">
        <v>5673.09</v>
      </c>
      <c r="D102" s="80">
        <v>637173.09</v>
      </c>
      <c r="E102" s="80">
        <v>627837.52</v>
      </c>
      <c r="F102" s="80">
        <v>621666.68000000005</v>
      </c>
      <c r="G102" s="80">
        <f t="shared" si="23"/>
        <v>9335.5699999999488</v>
      </c>
    </row>
    <row r="103" spans="1:7" x14ac:dyDescent="0.25">
      <c r="A103" s="83" t="s">
        <v>304</v>
      </c>
      <c r="B103" s="80">
        <f>SUM(B104:B112)</f>
        <v>13452588.689999999</v>
      </c>
      <c r="C103" s="80">
        <f>SUM(C104:C112)</f>
        <v>3256096.85</v>
      </c>
      <c r="D103" s="80">
        <f t="shared" ref="D103:G103" si="24">SUM(D104:D112)</f>
        <v>16708685.539999999</v>
      </c>
      <c r="E103" s="80">
        <f t="shared" si="24"/>
        <v>14833718.869999997</v>
      </c>
      <c r="F103" s="80">
        <f t="shared" si="24"/>
        <v>13945231.769999998</v>
      </c>
      <c r="G103" s="80">
        <f t="shared" si="24"/>
        <v>1874966.6699999997</v>
      </c>
    </row>
    <row r="104" spans="1:7" x14ac:dyDescent="0.25">
      <c r="A104" s="84" t="s">
        <v>305</v>
      </c>
      <c r="B104" s="80">
        <v>7344380.2599999998</v>
      </c>
      <c r="C104" s="80">
        <v>3138655.11</v>
      </c>
      <c r="D104" s="80">
        <v>10483035.369999999</v>
      </c>
      <c r="E104" s="80">
        <v>10425342.199999999</v>
      </c>
      <c r="F104" s="80">
        <v>9635387.9299999997</v>
      </c>
      <c r="G104" s="80">
        <f>D104-E104</f>
        <v>57693.169999999925</v>
      </c>
    </row>
    <row r="105" spans="1:7" x14ac:dyDescent="0.25">
      <c r="A105" s="84" t="s">
        <v>306</v>
      </c>
      <c r="B105" s="80">
        <v>52300</v>
      </c>
      <c r="C105" s="80">
        <v>9176.9500000000007</v>
      </c>
      <c r="D105" s="80">
        <v>61476.95</v>
      </c>
      <c r="E105" s="80">
        <v>57868.59</v>
      </c>
      <c r="F105" s="80">
        <v>57868.59</v>
      </c>
      <c r="G105" s="80">
        <f t="shared" ref="G105:G112" si="25">D105-E105</f>
        <v>3608.3600000000006</v>
      </c>
    </row>
    <row r="106" spans="1:7" x14ac:dyDescent="0.25">
      <c r="A106" s="84" t="s">
        <v>307</v>
      </c>
      <c r="B106" s="80">
        <v>4716759</v>
      </c>
      <c r="C106" s="80">
        <v>-154078.9</v>
      </c>
      <c r="D106" s="80">
        <v>4562680.0999999996</v>
      </c>
      <c r="E106" s="80">
        <v>2864178.02</v>
      </c>
      <c r="F106" s="80">
        <v>2864178.02</v>
      </c>
      <c r="G106" s="80">
        <f t="shared" si="25"/>
        <v>1698502.0799999996</v>
      </c>
    </row>
    <row r="107" spans="1:7" x14ac:dyDescent="0.25">
      <c r="A107" s="84" t="s">
        <v>308</v>
      </c>
      <c r="B107" s="80">
        <v>302330</v>
      </c>
      <c r="C107" s="80">
        <v>76955.98</v>
      </c>
      <c r="D107" s="80">
        <v>379285.98</v>
      </c>
      <c r="E107" s="80">
        <v>358664.7</v>
      </c>
      <c r="F107" s="80">
        <v>358664.7</v>
      </c>
      <c r="G107" s="80">
        <f t="shared" si="25"/>
        <v>20621.27999999997</v>
      </c>
    </row>
    <row r="108" spans="1:7" x14ac:dyDescent="0.25">
      <c r="A108" s="84" t="s">
        <v>309</v>
      </c>
      <c r="B108" s="80">
        <v>204000</v>
      </c>
      <c r="C108" s="80">
        <v>191911.54</v>
      </c>
      <c r="D108" s="80">
        <v>395911.54000000004</v>
      </c>
      <c r="E108" s="80">
        <v>393547.31</v>
      </c>
      <c r="F108" s="80">
        <v>393547.31</v>
      </c>
      <c r="G108" s="80">
        <f t="shared" si="25"/>
        <v>2364.2300000000396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5"/>
        <v>0</v>
      </c>
    </row>
    <row r="110" spans="1:7" x14ac:dyDescent="0.25">
      <c r="A110" s="84" t="s">
        <v>311</v>
      </c>
      <c r="B110" s="80">
        <v>12953</v>
      </c>
      <c r="C110" s="80">
        <v>64699.48</v>
      </c>
      <c r="D110" s="80">
        <v>77652.48000000001</v>
      </c>
      <c r="E110" s="80">
        <v>28851.279999999999</v>
      </c>
      <c r="F110" s="80">
        <v>28851.279999999999</v>
      </c>
      <c r="G110" s="80">
        <f t="shared" si="25"/>
        <v>48801.200000000012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5"/>
        <v>0</v>
      </c>
    </row>
    <row r="112" spans="1:7" x14ac:dyDescent="0.25">
      <c r="A112" s="84" t="s">
        <v>313</v>
      </c>
      <c r="B112" s="80">
        <v>819866.43</v>
      </c>
      <c r="C112" s="80">
        <v>-71223.31</v>
      </c>
      <c r="D112" s="80">
        <v>748643.12000000011</v>
      </c>
      <c r="E112" s="80">
        <v>705266.77</v>
      </c>
      <c r="F112" s="80">
        <v>606733.93999999994</v>
      </c>
      <c r="G112" s="80">
        <f t="shared" si="25"/>
        <v>43376.350000000093</v>
      </c>
    </row>
    <row r="113" spans="1:7" x14ac:dyDescent="0.25">
      <c r="A113" s="83" t="s">
        <v>314</v>
      </c>
      <c r="B113" s="80">
        <f>SUM(B114:B122)</f>
        <v>4680612.67</v>
      </c>
      <c r="C113" s="80">
        <f t="shared" ref="C113:G113" si="26">SUM(C114:C122)</f>
        <v>12316547.92</v>
      </c>
      <c r="D113" s="80">
        <f t="shared" si="26"/>
        <v>16997160.59</v>
      </c>
      <c r="E113" s="80">
        <f t="shared" si="26"/>
        <v>16258839.01</v>
      </c>
      <c r="F113" s="80">
        <f t="shared" si="26"/>
        <v>11250073.619999999</v>
      </c>
      <c r="G113" s="80">
        <f t="shared" si="26"/>
        <v>738321.58000000031</v>
      </c>
    </row>
    <row r="114" spans="1:7" x14ac:dyDescent="0.25">
      <c r="A114" s="84" t="s">
        <v>315</v>
      </c>
      <c r="B114" s="80">
        <v>0</v>
      </c>
      <c r="C114" s="80">
        <v>2634012.67</v>
      </c>
      <c r="D114" s="80">
        <v>2634012.67</v>
      </c>
      <c r="E114" s="80">
        <v>2634012.67</v>
      </c>
      <c r="F114" s="80">
        <v>2634012.67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317</v>
      </c>
      <c r="B116" s="80">
        <v>0</v>
      </c>
      <c r="C116" s="80">
        <v>4739478.96</v>
      </c>
      <c r="D116" s="80">
        <v>4739478.96</v>
      </c>
      <c r="E116" s="80">
        <v>4043124.1</v>
      </c>
      <c r="F116" s="80">
        <v>4043124.1</v>
      </c>
      <c r="G116" s="80">
        <f t="shared" si="27"/>
        <v>696354.85999999987</v>
      </c>
    </row>
    <row r="117" spans="1:7" x14ac:dyDescent="0.25">
      <c r="A117" s="84" t="s">
        <v>318</v>
      </c>
      <c r="B117" s="80">
        <v>1746600</v>
      </c>
      <c r="C117" s="80">
        <v>7577068.96</v>
      </c>
      <c r="D117" s="80">
        <v>9323668.9600000009</v>
      </c>
      <c r="E117" s="80">
        <v>9309202.2300000004</v>
      </c>
      <c r="F117" s="80">
        <v>4300436.84</v>
      </c>
      <c r="G117" s="80">
        <f t="shared" si="27"/>
        <v>14466.730000000447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322</v>
      </c>
      <c r="B121" s="80">
        <v>2934012.67</v>
      </c>
      <c r="C121" s="80">
        <v>-2634012.67</v>
      </c>
      <c r="D121" s="80">
        <v>300000</v>
      </c>
      <c r="E121" s="80">
        <v>272500.01</v>
      </c>
      <c r="F121" s="80">
        <v>272500.01</v>
      </c>
      <c r="G121" s="80">
        <f t="shared" si="27"/>
        <v>27499.989999999991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7016009.4199999999</v>
      </c>
      <c r="D123" s="80">
        <f t="shared" si="28"/>
        <v>7016009.4199999999</v>
      </c>
      <c r="E123" s="80">
        <f t="shared" si="28"/>
        <v>6925187.3899999997</v>
      </c>
      <c r="F123" s="80">
        <f t="shared" si="28"/>
        <v>5429338.9399999995</v>
      </c>
      <c r="G123" s="80">
        <f t="shared" si="28"/>
        <v>90822.030000000464</v>
      </c>
    </row>
    <row r="124" spans="1:7" x14ac:dyDescent="0.25">
      <c r="A124" s="84" t="s">
        <v>325</v>
      </c>
      <c r="B124" s="80">
        <v>0</v>
      </c>
      <c r="C124" s="80">
        <v>1395790.44</v>
      </c>
      <c r="D124" s="80">
        <v>1395790.44</v>
      </c>
      <c r="E124" s="80">
        <v>1378790.42</v>
      </c>
      <c r="F124" s="80">
        <v>17000</v>
      </c>
      <c r="G124" s="80">
        <f>D124-E124</f>
        <v>17000.020000000019</v>
      </c>
    </row>
    <row r="125" spans="1:7" x14ac:dyDescent="0.25">
      <c r="A125" s="84" t="s">
        <v>326</v>
      </c>
      <c r="B125" s="80">
        <v>0</v>
      </c>
      <c r="C125" s="80">
        <v>32890</v>
      </c>
      <c r="D125" s="80">
        <v>32890</v>
      </c>
      <c r="E125" s="80">
        <v>32889.99</v>
      </c>
      <c r="F125" s="80">
        <v>0</v>
      </c>
      <c r="G125" s="80">
        <f t="shared" ref="G125:G132" si="29">D125-E125</f>
        <v>1.0000000002037268E-2</v>
      </c>
    </row>
    <row r="126" spans="1:7" x14ac:dyDescent="0.25">
      <c r="A126" s="84" t="s">
        <v>327</v>
      </c>
      <c r="B126" s="80">
        <v>0</v>
      </c>
      <c r="C126" s="80">
        <v>200812.06</v>
      </c>
      <c r="D126" s="80">
        <v>200812.06</v>
      </c>
      <c r="E126" s="80">
        <v>150990.04</v>
      </c>
      <c r="F126" s="80">
        <v>49822</v>
      </c>
      <c r="G126" s="80">
        <f t="shared" si="29"/>
        <v>49822.01999999999</v>
      </c>
    </row>
    <row r="127" spans="1:7" x14ac:dyDescent="0.25">
      <c r="A127" s="84" t="s">
        <v>328</v>
      </c>
      <c r="B127" s="80">
        <v>0</v>
      </c>
      <c r="C127" s="80">
        <v>4798861.16</v>
      </c>
      <c r="D127" s="80">
        <v>4798861.16</v>
      </c>
      <c r="E127" s="80">
        <v>4774861.18</v>
      </c>
      <c r="F127" s="80">
        <v>4774861.18</v>
      </c>
      <c r="G127" s="80">
        <f t="shared" si="29"/>
        <v>23999.980000000447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9"/>
        <v>0</v>
      </c>
    </row>
    <row r="129" spans="1:7" x14ac:dyDescent="0.25">
      <c r="A129" s="84" t="s">
        <v>330</v>
      </c>
      <c r="B129" s="80">
        <v>0</v>
      </c>
      <c r="C129" s="80">
        <v>587655.76</v>
      </c>
      <c r="D129" s="80">
        <v>587655.76</v>
      </c>
      <c r="E129" s="80">
        <v>587655.76</v>
      </c>
      <c r="F129" s="80">
        <v>587655.76</v>
      </c>
      <c r="G129" s="80">
        <f t="shared" si="29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9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107376911.73999999</v>
      </c>
      <c r="C133" s="80">
        <f t="shared" ref="C133:G133" si="30">SUM(C134:C136)</f>
        <v>113844091.95</v>
      </c>
      <c r="D133" s="80">
        <f t="shared" si="30"/>
        <v>221221003.69</v>
      </c>
      <c r="E133" s="80">
        <f t="shared" si="30"/>
        <v>137731876.75999999</v>
      </c>
      <c r="F133" s="80">
        <f t="shared" si="30"/>
        <v>126145370.5</v>
      </c>
      <c r="G133" s="80">
        <f t="shared" si="30"/>
        <v>83489126.930000007</v>
      </c>
    </row>
    <row r="134" spans="1:7" x14ac:dyDescent="0.25">
      <c r="A134" s="84" t="s">
        <v>335</v>
      </c>
      <c r="B134" s="80">
        <v>103422292</v>
      </c>
      <c r="C134" s="80">
        <v>111899895.55</v>
      </c>
      <c r="D134" s="80">
        <v>215322187.55000001</v>
      </c>
      <c r="E134" s="80">
        <v>134098550.11</v>
      </c>
      <c r="F134" s="80">
        <v>122629528.94</v>
      </c>
      <c r="G134" s="80">
        <f>D134-E134</f>
        <v>81223637.440000013</v>
      </c>
    </row>
    <row r="135" spans="1:7" x14ac:dyDescent="0.25">
      <c r="A135" s="84" t="s">
        <v>336</v>
      </c>
      <c r="B135" s="80">
        <v>3954619.74</v>
      </c>
      <c r="C135" s="80">
        <v>1944196.4</v>
      </c>
      <c r="D135" s="80">
        <v>5898816.1400000006</v>
      </c>
      <c r="E135" s="80">
        <v>3633326.65</v>
      </c>
      <c r="F135" s="80">
        <v>3515841.56</v>
      </c>
      <c r="G135" s="80">
        <f t="shared" ref="G135:G136" si="31">D135-E135</f>
        <v>2265489.4900000007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3"/>
        <v>0</v>
      </c>
    </row>
    <row r="143" spans="1:7" x14ac:dyDescent="0.25">
      <c r="A143" s="84" t="s">
        <v>3302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3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7873888</v>
      </c>
      <c r="C146" s="80">
        <f t="shared" ref="C146:G146" si="34">SUM(C147:C149)</f>
        <v>-3504380.36</v>
      </c>
      <c r="D146" s="80">
        <f t="shared" si="34"/>
        <v>4369507.6400000006</v>
      </c>
      <c r="E146" s="80">
        <f t="shared" si="34"/>
        <v>4369507.6399999997</v>
      </c>
      <c r="F146" s="80">
        <f t="shared" si="34"/>
        <v>4369507.6399999997</v>
      </c>
      <c r="G146" s="80">
        <f t="shared" si="34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x14ac:dyDescent="0.25">
      <c r="A149" s="84" t="s">
        <v>350</v>
      </c>
      <c r="B149" s="80">
        <v>7873888</v>
      </c>
      <c r="C149" s="80">
        <v>-3504380.36</v>
      </c>
      <c r="D149" s="80">
        <v>4369507.6400000006</v>
      </c>
      <c r="E149" s="80">
        <v>4369507.6399999997</v>
      </c>
      <c r="F149" s="80">
        <v>4369507.6399999997</v>
      </c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285303603</v>
      </c>
      <c r="C159" s="79">
        <f t="shared" ref="C159:G159" si="38">C9+C84</f>
        <v>203520529.98000002</v>
      </c>
      <c r="D159" s="79">
        <f t="shared" si="38"/>
        <v>488824132.98000002</v>
      </c>
      <c r="E159" s="79">
        <f t="shared" si="38"/>
        <v>371990921.88999999</v>
      </c>
      <c r="F159" s="79">
        <f t="shared" si="38"/>
        <v>349579503.56</v>
      </c>
      <c r="G159" s="79">
        <f t="shared" si="38"/>
        <v>116833211.09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113994961.99999999</v>
      </c>
      <c r="Q2" s="18">
        <f>'Formato 6 a)'!C9</f>
        <v>70380286.659999996</v>
      </c>
      <c r="R2" s="18">
        <f>'Formato 6 a)'!D9</f>
        <v>184375248.66000003</v>
      </c>
      <c r="S2" s="18">
        <f>'Formato 6 a)'!E9</f>
        <v>154729062.47</v>
      </c>
      <c r="T2" s="18">
        <f>'Formato 6 a)'!F9</f>
        <v>152039958.75000003</v>
      </c>
      <c r="U2" s="18">
        <f>'Formato 6 a)'!G9</f>
        <v>29646186.189999998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78606976.539999992</v>
      </c>
      <c r="Q3" s="18">
        <f>'Formato 6 a)'!C10</f>
        <v>221225.11</v>
      </c>
      <c r="R3" s="18">
        <f>'Formato 6 a)'!D10</f>
        <v>78828201.650000006</v>
      </c>
      <c r="S3" s="18">
        <f>'Formato 6 a)'!E10</f>
        <v>72325472.420000002</v>
      </c>
      <c r="T3" s="18">
        <f>'Formato 6 a)'!F10</f>
        <v>70977935.13000001</v>
      </c>
      <c r="U3" s="18">
        <f>'Formato 6 a)'!G10</f>
        <v>6502729.2299999986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43622461.32</v>
      </c>
      <c r="Q4" s="18">
        <f>'Formato 6 a)'!C11</f>
        <v>-30000</v>
      </c>
      <c r="R4" s="18">
        <f>'Formato 6 a)'!D11</f>
        <v>43592461.32</v>
      </c>
      <c r="S4" s="18">
        <f>'Formato 6 a)'!E11</f>
        <v>40900056.060000002</v>
      </c>
      <c r="T4" s="18">
        <f>'Formato 6 a)'!F11</f>
        <v>40900056.060000002</v>
      </c>
      <c r="U4" s="18">
        <f>'Formato 6 a)'!G11</f>
        <v>2692405.2599999979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30000</v>
      </c>
      <c r="Q5" s="18">
        <f>'Formato 6 a)'!C12</f>
        <v>0</v>
      </c>
      <c r="R5" s="18">
        <f>'Formato 6 a)'!D12</f>
        <v>30000</v>
      </c>
      <c r="S5" s="18">
        <f>'Formato 6 a)'!E12</f>
        <v>9792.24</v>
      </c>
      <c r="T5" s="18">
        <f>'Formato 6 a)'!F12</f>
        <v>9792.24</v>
      </c>
      <c r="U5" s="18">
        <f>'Formato 6 a)'!G12</f>
        <v>20207.760000000002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6898301.8200000003</v>
      </c>
      <c r="Q6" s="18">
        <f>'Formato 6 a)'!C13</f>
        <v>28225.11</v>
      </c>
      <c r="R6" s="18">
        <f>'Formato 6 a)'!D13</f>
        <v>6926526.9299999997</v>
      </c>
      <c r="S6" s="18">
        <f>'Formato 6 a)'!E13</f>
        <v>6462954.1799999997</v>
      </c>
      <c r="T6" s="18">
        <f>'Formato 6 a)'!F13</f>
        <v>6462954.1799999997</v>
      </c>
      <c r="U6" s="18">
        <f>'Formato 6 a)'!G13</f>
        <v>463572.75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12570038.76</v>
      </c>
      <c r="Q7" s="18">
        <f>'Formato 6 a)'!C14</f>
        <v>267000</v>
      </c>
      <c r="R7" s="18">
        <f>'Formato 6 a)'!D14</f>
        <v>12837038.76</v>
      </c>
      <c r="S7" s="18">
        <f>'Formato 6 a)'!E14</f>
        <v>10254864.93</v>
      </c>
      <c r="T7" s="18">
        <f>'Formato 6 a)'!F14</f>
        <v>8907327.6400000006</v>
      </c>
      <c r="U7" s="18">
        <f>'Formato 6 a)'!G14</f>
        <v>2582173.83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15486174.640000001</v>
      </c>
      <c r="Q8" s="18">
        <f>'Formato 6 a)'!C15</f>
        <v>-44000</v>
      </c>
      <c r="R8" s="18">
        <f>'Formato 6 a)'!D15</f>
        <v>15442174.640000001</v>
      </c>
      <c r="S8" s="18">
        <f>'Formato 6 a)'!E15</f>
        <v>14697805.01</v>
      </c>
      <c r="T8" s="18">
        <f>'Formato 6 a)'!F15</f>
        <v>14697805.01</v>
      </c>
      <c r="U8" s="18">
        <f>'Formato 6 a)'!G15</f>
        <v>744369.63000000082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10052382.52</v>
      </c>
      <c r="Q11" s="18">
        <f>'Formato 6 a)'!C18</f>
        <v>7642314.8500000006</v>
      </c>
      <c r="R11" s="18">
        <f>'Formato 6 a)'!D18</f>
        <v>17694697.369999997</v>
      </c>
      <c r="S11" s="18">
        <f>'Formato 6 a)'!E18</f>
        <v>15147013.269999998</v>
      </c>
      <c r="T11" s="18">
        <f>'Formato 6 a)'!F18</f>
        <v>15147423.279999999</v>
      </c>
      <c r="U11" s="18">
        <f>'Formato 6 a)'!G18</f>
        <v>2547684.0999999996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1197349.6000000001</v>
      </c>
      <c r="Q12" s="18">
        <f>'Formato 6 a)'!C19</f>
        <v>379378.96</v>
      </c>
      <c r="R12" s="18">
        <f>'Formato 6 a)'!D19</f>
        <v>1576728.56</v>
      </c>
      <c r="S12" s="18">
        <f>'Formato 6 a)'!E19</f>
        <v>1436002.91</v>
      </c>
      <c r="T12" s="18">
        <f>'Formato 6 a)'!F19</f>
        <v>1436002.91</v>
      </c>
      <c r="U12" s="18">
        <f>'Formato 6 a)'!G19</f>
        <v>140725.65000000014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178203.51999999999</v>
      </c>
      <c r="Q13" s="18">
        <f>'Formato 6 a)'!C20</f>
        <v>113925.25</v>
      </c>
      <c r="R13" s="18">
        <f>'Formato 6 a)'!D20</f>
        <v>292128.77</v>
      </c>
      <c r="S13" s="18">
        <f>'Formato 6 a)'!E20</f>
        <v>242520.95999999999</v>
      </c>
      <c r="T13" s="18">
        <f>'Formato 6 a)'!F20</f>
        <v>242520.95999999999</v>
      </c>
      <c r="U13" s="18">
        <f>'Formato 6 a)'!G20</f>
        <v>49607.810000000027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1502982.93</v>
      </c>
      <c r="Q15" s="18">
        <f>'Formato 6 a)'!C22</f>
        <v>1832839.46</v>
      </c>
      <c r="R15" s="18">
        <f>'Formato 6 a)'!D22</f>
        <v>3335822.3899999997</v>
      </c>
      <c r="S15" s="18">
        <f>'Formato 6 a)'!E22</f>
        <v>2858994.18</v>
      </c>
      <c r="T15" s="18">
        <f>'Formato 6 a)'!F22</f>
        <v>2859404.19</v>
      </c>
      <c r="U15" s="18">
        <f>'Formato 6 a)'!G22</f>
        <v>476828.2099999995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38240</v>
      </c>
      <c r="Q16" s="18">
        <f>'Formato 6 a)'!C23</f>
        <v>-17326.25</v>
      </c>
      <c r="R16" s="18">
        <f>'Formato 6 a)'!D23</f>
        <v>20913.75</v>
      </c>
      <c r="S16" s="18">
        <f>'Formato 6 a)'!E23</f>
        <v>16722.18</v>
      </c>
      <c r="T16" s="18">
        <f>'Formato 6 a)'!F23</f>
        <v>16722.18</v>
      </c>
      <c r="U16" s="18">
        <f>'Formato 6 a)'!G23</f>
        <v>4191.57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5007693.2699999996</v>
      </c>
      <c r="Q17" s="18">
        <f>'Formato 6 a)'!C24</f>
        <v>1486006.97</v>
      </c>
      <c r="R17" s="18">
        <f>'Formato 6 a)'!D24</f>
        <v>6493700.2399999993</v>
      </c>
      <c r="S17" s="18">
        <f>'Formato 6 a)'!E24</f>
        <v>6350908.0999999996</v>
      </c>
      <c r="T17" s="18">
        <f>'Formato 6 a)'!F24</f>
        <v>6350908.0999999996</v>
      </c>
      <c r="U17" s="18">
        <f>'Formato 6 a)'!G24</f>
        <v>142792.13999999966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75618</v>
      </c>
      <c r="Q18" s="18">
        <f>'Formato 6 a)'!C25</f>
        <v>1079827.52</v>
      </c>
      <c r="R18" s="18">
        <f>'Formato 6 a)'!D25</f>
        <v>1155445.52</v>
      </c>
      <c r="S18" s="18">
        <f>'Formato 6 a)'!E25</f>
        <v>1131683.5</v>
      </c>
      <c r="T18" s="18">
        <f>'Formato 6 a)'!F25</f>
        <v>1131683.5</v>
      </c>
      <c r="U18" s="18">
        <f>'Formato 6 a)'!G25</f>
        <v>23762.020000000019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2075526.12</v>
      </c>
      <c r="R19" s="18">
        <f>'Formato 6 a)'!D26</f>
        <v>2075526.12</v>
      </c>
      <c r="S19" s="18">
        <f>'Formato 6 a)'!E26</f>
        <v>803659.6</v>
      </c>
      <c r="T19" s="18">
        <f>'Formato 6 a)'!F26</f>
        <v>803659.6</v>
      </c>
      <c r="U19" s="18">
        <f>'Formato 6 a)'!G26</f>
        <v>1271866.52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2052295.2</v>
      </c>
      <c r="Q20" s="18">
        <f>'Formato 6 a)'!C27</f>
        <v>692136.82</v>
      </c>
      <c r="R20" s="18">
        <f>'Formato 6 a)'!D27</f>
        <v>2744432.02</v>
      </c>
      <c r="S20" s="18">
        <f>'Formato 6 a)'!E27</f>
        <v>2306521.84</v>
      </c>
      <c r="T20" s="18">
        <f>'Formato 6 a)'!F27</f>
        <v>2306521.84</v>
      </c>
      <c r="U20" s="18">
        <f>'Formato 6 a)'!G27</f>
        <v>437910.18000000017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11200313.690000001</v>
      </c>
      <c r="Q21" s="18">
        <f>'Formato 6 a)'!C28</f>
        <v>10153186.83</v>
      </c>
      <c r="R21" s="18">
        <f>'Formato 6 a)'!D28</f>
        <v>21353500.520000003</v>
      </c>
      <c r="S21" s="18">
        <f>'Formato 6 a)'!E28</f>
        <v>17421846.169999998</v>
      </c>
      <c r="T21" s="18">
        <f>'Formato 6 a)'!F28</f>
        <v>17214245.82</v>
      </c>
      <c r="U21" s="18">
        <f>'Formato 6 a)'!G28</f>
        <v>3931654.3500000015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1484171.47</v>
      </c>
      <c r="Q22" s="18">
        <f>'Formato 6 a)'!C29</f>
        <v>388392.4</v>
      </c>
      <c r="R22" s="18">
        <f>'Formato 6 a)'!D29</f>
        <v>1872563.87</v>
      </c>
      <c r="S22" s="18">
        <f>'Formato 6 a)'!E29</f>
        <v>1593548.27</v>
      </c>
      <c r="T22" s="18">
        <f>'Formato 6 a)'!F29</f>
        <v>1593548.27</v>
      </c>
      <c r="U22" s="18">
        <f>'Formato 6 a)'!G29</f>
        <v>279015.60000000009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1190530.1399999999</v>
      </c>
      <c r="Q23" s="18">
        <f>'Formato 6 a)'!C30</f>
        <v>310443.23</v>
      </c>
      <c r="R23" s="18">
        <f>'Formato 6 a)'!D30</f>
        <v>1500973.3699999999</v>
      </c>
      <c r="S23" s="18">
        <f>'Formato 6 a)'!E30</f>
        <v>1416067.98</v>
      </c>
      <c r="T23" s="18">
        <f>'Formato 6 a)'!F30</f>
        <v>1416067.98</v>
      </c>
      <c r="U23" s="18">
        <f>'Formato 6 a)'!G30</f>
        <v>84905.389999999898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1567591.31</v>
      </c>
      <c r="Q24" s="18">
        <f>'Formato 6 a)'!C31</f>
        <v>4557236.58</v>
      </c>
      <c r="R24" s="18">
        <f>'Formato 6 a)'!D31</f>
        <v>6124827.8900000006</v>
      </c>
      <c r="S24" s="18">
        <f>'Formato 6 a)'!E31</f>
        <v>5372278.0999999996</v>
      </c>
      <c r="T24" s="18">
        <f>'Formato 6 a)'!F31</f>
        <v>5372278.0999999996</v>
      </c>
      <c r="U24" s="18">
        <f>'Formato 6 a)'!G31</f>
        <v>752549.79000000097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934177.11</v>
      </c>
      <c r="Q25" s="18">
        <f>'Formato 6 a)'!C32</f>
        <v>139697.41</v>
      </c>
      <c r="R25" s="18">
        <f>'Formato 6 a)'!D32</f>
        <v>1073874.52</v>
      </c>
      <c r="S25" s="18">
        <f>'Formato 6 a)'!E32</f>
        <v>919090.77</v>
      </c>
      <c r="T25" s="18">
        <f>'Formato 6 a)'!F32</f>
        <v>919090.77</v>
      </c>
      <c r="U25" s="18">
        <f>'Formato 6 a)'!G32</f>
        <v>154783.75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1249473.26</v>
      </c>
      <c r="Q26" s="18">
        <f>'Formato 6 a)'!C33</f>
        <v>118073.54</v>
      </c>
      <c r="R26" s="18">
        <f>'Formato 6 a)'!D33</f>
        <v>1367546.8</v>
      </c>
      <c r="S26" s="18">
        <f>'Formato 6 a)'!E33</f>
        <v>1045964.67</v>
      </c>
      <c r="T26" s="18">
        <f>'Formato 6 a)'!F33</f>
        <v>1035804.49</v>
      </c>
      <c r="U26" s="18">
        <f>'Formato 6 a)'!G33</f>
        <v>321582.13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608469.04</v>
      </c>
      <c r="Q27" s="18">
        <f>'Formato 6 a)'!C34</f>
        <v>-103000</v>
      </c>
      <c r="R27" s="18">
        <f>'Formato 6 a)'!D34</f>
        <v>505469.04000000004</v>
      </c>
      <c r="S27" s="18">
        <f>'Formato 6 a)'!E34</f>
        <v>480060.42</v>
      </c>
      <c r="T27" s="18">
        <f>'Formato 6 a)'!F34</f>
        <v>480060.42</v>
      </c>
      <c r="U27" s="18">
        <f>'Formato 6 a)'!G34</f>
        <v>25408.620000000054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212722.59</v>
      </c>
      <c r="Q28" s="18">
        <f>'Formato 6 a)'!C35</f>
        <v>-26803.96</v>
      </c>
      <c r="R28" s="18">
        <f>'Formato 6 a)'!D35</f>
        <v>185918.63</v>
      </c>
      <c r="S28" s="18">
        <f>'Formato 6 a)'!E35</f>
        <v>125090.56</v>
      </c>
      <c r="T28" s="18">
        <f>'Formato 6 a)'!F35</f>
        <v>125090.56</v>
      </c>
      <c r="U28" s="18">
        <f>'Formato 6 a)'!G35</f>
        <v>60828.070000000007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2145695.63</v>
      </c>
      <c r="Q29" s="18">
        <f>'Formato 6 a)'!C36</f>
        <v>3093433.97</v>
      </c>
      <c r="R29" s="18">
        <f>'Formato 6 a)'!D36</f>
        <v>5239129.5999999996</v>
      </c>
      <c r="S29" s="18">
        <f>'Formato 6 a)'!E36</f>
        <v>4809120.93</v>
      </c>
      <c r="T29" s="18">
        <f>'Formato 6 a)'!F36</f>
        <v>4809120.93</v>
      </c>
      <c r="U29" s="18">
        <f>'Formato 6 a)'!G36</f>
        <v>430008.66999999993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1807483.14</v>
      </c>
      <c r="Q30" s="18">
        <f>'Formato 6 a)'!C37</f>
        <v>1675713.66</v>
      </c>
      <c r="R30" s="18">
        <f>'Formato 6 a)'!D37</f>
        <v>3483196.8</v>
      </c>
      <c r="S30" s="18">
        <f>'Formato 6 a)'!E37</f>
        <v>1660624.47</v>
      </c>
      <c r="T30" s="18">
        <f>'Formato 6 a)'!F37</f>
        <v>1463184.3</v>
      </c>
      <c r="U30" s="18">
        <f>'Formato 6 a)'!G37</f>
        <v>1822572.3299999998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14068970.25</v>
      </c>
      <c r="Q31" s="18">
        <f>'Formato 6 a)'!C38</f>
        <v>9538505.6799999997</v>
      </c>
      <c r="R31" s="18">
        <f>'Formato 6 a)'!D38</f>
        <v>23607475.93</v>
      </c>
      <c r="S31" s="18">
        <f>'Formato 6 a)'!E38</f>
        <v>21689215.120000001</v>
      </c>
      <c r="T31" s="18">
        <f>'Formato 6 a)'!F38</f>
        <v>21688519.120000001</v>
      </c>
      <c r="U31" s="18">
        <f>'Formato 6 a)'!G38</f>
        <v>1918260.8100000005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10806000</v>
      </c>
      <c r="R32" s="18">
        <f>'Formato 6 a)'!D39</f>
        <v>10806000</v>
      </c>
      <c r="S32" s="18">
        <f>'Formato 6 a)'!E39</f>
        <v>10806000</v>
      </c>
      <c r="T32" s="18">
        <f>'Formato 6 a)'!F39</f>
        <v>10806000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225810</v>
      </c>
      <c r="R33" s="18">
        <f>'Formato 6 a)'!D40</f>
        <v>225810</v>
      </c>
      <c r="S33" s="18">
        <f>'Formato 6 a)'!E40</f>
        <v>225810</v>
      </c>
      <c r="T33" s="18">
        <f>'Formato 6 a)'!F40</f>
        <v>225810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7934561.8700000001</v>
      </c>
      <c r="R34" s="18">
        <f>'Formato 6 a)'!D41</f>
        <v>7934561.8700000001</v>
      </c>
      <c r="S34" s="18">
        <f>'Formato 6 a)'!E41</f>
        <v>7422433.3700000001</v>
      </c>
      <c r="T34" s="18">
        <f>'Formato 6 a)'!F41</f>
        <v>7421737.3700000001</v>
      </c>
      <c r="U34" s="18">
        <f>'Formato 6 a)'!G41</f>
        <v>512128.5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3176470.25</v>
      </c>
      <c r="Q35" s="18">
        <f>'Formato 6 a)'!C42</f>
        <v>1227133.81</v>
      </c>
      <c r="R35" s="18">
        <f>'Formato 6 a)'!D42</f>
        <v>4403604.0600000005</v>
      </c>
      <c r="S35" s="18">
        <f>'Formato 6 a)'!E42</f>
        <v>2997732.65</v>
      </c>
      <c r="T35" s="18">
        <f>'Formato 6 a)'!F42</f>
        <v>2997732.65</v>
      </c>
      <c r="U35" s="18">
        <f>'Formato 6 a)'!G42</f>
        <v>1405871.4100000006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10892500</v>
      </c>
      <c r="Q39" s="18">
        <f>'Formato 6 a)'!C46</f>
        <v>-10655000</v>
      </c>
      <c r="R39" s="18">
        <f>'Formato 6 a)'!D46</f>
        <v>237500</v>
      </c>
      <c r="S39" s="18">
        <f>'Formato 6 a)'!E46</f>
        <v>237239.1</v>
      </c>
      <c r="T39" s="18">
        <f>'Formato 6 a)'!F46</f>
        <v>237239.1</v>
      </c>
      <c r="U39" s="18">
        <f>'Formato 6 a)'!G46</f>
        <v>260.89999999999418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66319</v>
      </c>
      <c r="Q41" s="18">
        <f>'Formato 6 a)'!C48</f>
        <v>7328295.9799999995</v>
      </c>
      <c r="R41" s="18">
        <f>'Formato 6 a)'!D48</f>
        <v>7394614.9799999995</v>
      </c>
      <c r="S41" s="18">
        <f>'Formato 6 a)'!E48</f>
        <v>5702793.7999999989</v>
      </c>
      <c r="T41" s="18">
        <f>'Formato 6 a)'!F48</f>
        <v>5692775.1099999994</v>
      </c>
      <c r="U41" s="18">
        <f>'Formato 6 a)'!G48</f>
        <v>1691821.1800000002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37500</v>
      </c>
      <c r="Q42" s="18">
        <f>'Formato 6 a)'!C49</f>
        <v>1294871.6000000001</v>
      </c>
      <c r="R42" s="18">
        <f>'Formato 6 a)'!D49</f>
        <v>1332371.6000000001</v>
      </c>
      <c r="S42" s="18">
        <f>'Formato 6 a)'!E49</f>
        <v>1243441.24</v>
      </c>
      <c r="T42" s="18">
        <f>'Formato 6 a)'!F49</f>
        <v>1243441.24</v>
      </c>
      <c r="U42" s="18">
        <f>'Formato 6 a)'!G49</f>
        <v>88930.360000000102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540952</v>
      </c>
      <c r="R43" s="18">
        <f>'Formato 6 a)'!D50</f>
        <v>540952</v>
      </c>
      <c r="S43" s="18">
        <f>'Formato 6 a)'!E50</f>
        <v>521506.05</v>
      </c>
      <c r="T43" s="18">
        <f>'Formato 6 a)'!F50</f>
        <v>521506.05</v>
      </c>
      <c r="U43" s="18">
        <f>'Formato 6 a)'!G50</f>
        <v>19445.950000000012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3721700</v>
      </c>
      <c r="R45" s="18">
        <f>'Formato 6 a)'!D52</f>
        <v>3721700</v>
      </c>
      <c r="S45" s="18">
        <f>'Formato 6 a)'!E52</f>
        <v>3630656.82</v>
      </c>
      <c r="T45" s="18">
        <f>'Formato 6 a)'!F52</f>
        <v>3630656.82</v>
      </c>
      <c r="U45" s="18">
        <f>'Formato 6 a)'!G52</f>
        <v>91043.180000000168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1385996.88</v>
      </c>
      <c r="R46" s="18">
        <f>'Formato 6 a)'!D53</f>
        <v>1385996.88</v>
      </c>
      <c r="S46" s="18">
        <f>'Formato 6 a)'!E53</f>
        <v>0</v>
      </c>
      <c r="T46" s="18">
        <f>'Formato 6 a)'!F53</f>
        <v>0</v>
      </c>
      <c r="U46" s="18">
        <f>'Formato 6 a)'!G53</f>
        <v>1385996.88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9820</v>
      </c>
      <c r="Q47" s="18">
        <f>'Formato 6 a)'!C54</f>
        <v>192836</v>
      </c>
      <c r="R47" s="18">
        <f>'Formato 6 a)'!D54</f>
        <v>202656</v>
      </c>
      <c r="S47" s="18">
        <f>'Formato 6 a)'!E54</f>
        <v>180087.05</v>
      </c>
      <c r="T47" s="18">
        <f>'Formato 6 a)'!F54</f>
        <v>170068.36</v>
      </c>
      <c r="U47" s="18">
        <f>'Formato 6 a)'!G54</f>
        <v>22568.950000000012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99782.86</v>
      </c>
      <c r="R49" s="18">
        <f>'Formato 6 a)'!D56</f>
        <v>99782.86</v>
      </c>
      <c r="S49" s="18">
        <f>'Formato 6 a)'!E56</f>
        <v>18000</v>
      </c>
      <c r="T49" s="18">
        <f>'Formato 6 a)'!F56</f>
        <v>18000</v>
      </c>
      <c r="U49" s="18">
        <f>'Formato 6 a)'!G56</f>
        <v>81782.86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18999</v>
      </c>
      <c r="Q50" s="18">
        <f>'Formato 6 a)'!C57</f>
        <v>92156.64</v>
      </c>
      <c r="R50" s="18">
        <f>'Formato 6 a)'!D57</f>
        <v>111155.64</v>
      </c>
      <c r="S50" s="18">
        <f>'Formato 6 a)'!E57</f>
        <v>109102.64</v>
      </c>
      <c r="T50" s="18">
        <f>'Formato 6 a)'!F57</f>
        <v>109102.64</v>
      </c>
      <c r="U50" s="18">
        <f>'Formato 6 a)'!G57</f>
        <v>2053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29486212.870000001</v>
      </c>
      <c r="R51" s="18">
        <f>'Formato 6 a)'!D58</f>
        <v>29486212.870000001</v>
      </c>
      <c r="S51" s="18">
        <f>'Formato 6 a)'!E58</f>
        <v>17138619.129999999</v>
      </c>
      <c r="T51" s="18">
        <f>'Formato 6 a)'!F58</f>
        <v>16014957.73</v>
      </c>
      <c r="U51" s="18">
        <f>'Formato 6 a)'!G58</f>
        <v>12347593.74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26397688.93</v>
      </c>
      <c r="R52" s="18">
        <f>'Formato 6 a)'!D59</f>
        <v>26397688.93</v>
      </c>
      <c r="S52" s="18">
        <f>'Formato 6 a)'!E59</f>
        <v>16117317.59</v>
      </c>
      <c r="T52" s="18">
        <f>'Formato 6 a)'!F59</f>
        <v>14993656.189999999</v>
      </c>
      <c r="U52" s="18">
        <f>'Formato 6 a)'!G59</f>
        <v>10280371.34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3088523.94</v>
      </c>
      <c r="R53" s="18">
        <f>'Formato 6 a)'!D60</f>
        <v>3088523.94</v>
      </c>
      <c r="S53" s="18">
        <f>'Formato 6 a)'!E60</f>
        <v>1021301.54</v>
      </c>
      <c r="T53" s="18">
        <f>'Formato 6 a)'!F60</f>
        <v>1021301.54</v>
      </c>
      <c r="U53" s="18">
        <f>'Formato 6 a)'!G60</f>
        <v>2067222.4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495190.63</v>
      </c>
      <c r="R64" s="18">
        <f>'Formato 6 a)'!D71</f>
        <v>495190.63</v>
      </c>
      <c r="S64" s="18">
        <f>'Formato 6 a)'!E71</f>
        <v>217457.75</v>
      </c>
      <c r="T64" s="18">
        <f>'Formato 6 a)'!F71</f>
        <v>217457.75</v>
      </c>
      <c r="U64" s="18">
        <f>'Formato 6 a)'!G71</f>
        <v>277732.88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495190.63</v>
      </c>
      <c r="R67" s="18">
        <f>'Formato 6 a)'!D74</f>
        <v>495190.63</v>
      </c>
      <c r="S67" s="18">
        <f>'Formato 6 a)'!E74</f>
        <v>217457.75</v>
      </c>
      <c r="T67" s="18">
        <f>'Formato 6 a)'!F74</f>
        <v>217457.75</v>
      </c>
      <c r="U67" s="18">
        <f>'Formato 6 a)'!G74</f>
        <v>277732.88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5515354.71</v>
      </c>
      <c r="R68" s="18">
        <f>'Formato 6 a)'!D75</f>
        <v>5515354.71</v>
      </c>
      <c r="S68" s="18">
        <f>'Formato 6 a)'!E75</f>
        <v>5086644.8099999996</v>
      </c>
      <c r="T68" s="18">
        <f>'Formato 6 a)'!F75</f>
        <v>5086644.8099999996</v>
      </c>
      <c r="U68" s="18">
        <f>'Formato 6 a)'!G75</f>
        <v>428709.90000000037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5515354.71</v>
      </c>
      <c r="R75" s="18">
        <f>'Formato 6 a)'!D82</f>
        <v>5515354.71</v>
      </c>
      <c r="S75" s="18">
        <f>'Formato 6 a)'!E82</f>
        <v>5086644.8099999996</v>
      </c>
      <c r="T75" s="18">
        <f>'Formato 6 a)'!F82</f>
        <v>5086644.8099999996</v>
      </c>
      <c r="U75" s="18">
        <f>'Formato 6 a)'!G82</f>
        <v>428709.90000000037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171308641</v>
      </c>
      <c r="Q76">
        <f>'Formato 6 a)'!C84</f>
        <v>133140243.32000001</v>
      </c>
      <c r="R76">
        <f>'Formato 6 a)'!D84</f>
        <v>304448884.31999999</v>
      </c>
      <c r="S76">
        <f>'Formato 6 a)'!E84</f>
        <v>217261859.41999996</v>
      </c>
      <c r="T76">
        <f>'Formato 6 a)'!F84</f>
        <v>197539544.80999997</v>
      </c>
      <c r="U76">
        <f>'Formato 6 a)'!G84</f>
        <v>87187024.900000006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33742839.899999991</v>
      </c>
      <c r="Q77">
        <f>'Formato 6 a)'!C85</f>
        <v>-1534291.83</v>
      </c>
      <c r="R77">
        <f>'Formato 6 a)'!D85</f>
        <v>32208548.07</v>
      </c>
      <c r="S77">
        <f>'Formato 6 a)'!E85</f>
        <v>31327084.609999999</v>
      </c>
      <c r="T77">
        <f>'Formato 6 a)'!F85</f>
        <v>30671706.669999998</v>
      </c>
      <c r="U77">
        <f>'Formato 6 a)'!G85</f>
        <v>881463.45999999857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17081367.149999999</v>
      </c>
      <c r="Q78">
        <f>'Formato 6 a)'!C86</f>
        <v>189805.68</v>
      </c>
      <c r="R78">
        <f>'Formato 6 a)'!D86</f>
        <v>17271172.829999998</v>
      </c>
      <c r="S78">
        <f>'Formato 6 a)'!E86</f>
        <v>16808930.710000001</v>
      </c>
      <c r="T78">
        <f>'Formato 6 a)'!F86</f>
        <v>16808930.710000001</v>
      </c>
      <c r="U78">
        <f>'Formato 6 a)'!G86</f>
        <v>462242.11999999732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2653008.2200000002</v>
      </c>
      <c r="Q80">
        <f>'Formato 6 a)'!C88</f>
        <v>44789.599999999999</v>
      </c>
      <c r="R80">
        <f>'Formato 6 a)'!D88</f>
        <v>2697797.8200000003</v>
      </c>
      <c r="S80">
        <f>'Formato 6 a)'!E88</f>
        <v>2679604.7999999998</v>
      </c>
      <c r="T80">
        <f>'Formato 6 a)'!F88</f>
        <v>2679604.7999999998</v>
      </c>
      <c r="U80">
        <f>'Formato 6 a)'!G88</f>
        <v>18193.020000000484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7223443.9000000004</v>
      </c>
      <c r="Q81">
        <f>'Formato 6 a)'!C89</f>
        <v>-1354399.44</v>
      </c>
      <c r="R81">
        <f>'Formato 6 a)'!D89</f>
        <v>5869044.4600000009</v>
      </c>
      <c r="S81">
        <f>'Formato 6 a)'!E89</f>
        <v>5607852.6100000003</v>
      </c>
      <c r="T81">
        <f>'Formato 6 a)'!F89</f>
        <v>4952474.67</v>
      </c>
      <c r="U81">
        <f>'Formato 6 a)'!G89</f>
        <v>261191.85000000056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4439066.9000000004</v>
      </c>
      <c r="Q82">
        <f>'Formato 6 a)'!C90</f>
        <v>-257390.38</v>
      </c>
      <c r="R82">
        <f>'Formato 6 a)'!D90</f>
        <v>4181676.5200000005</v>
      </c>
      <c r="S82">
        <f>'Formato 6 a)'!E90</f>
        <v>4110161.45</v>
      </c>
      <c r="T82">
        <f>'Formato 6 a)'!F90</f>
        <v>4110161.45</v>
      </c>
      <c r="U82">
        <f>'Formato 6 a)'!G90</f>
        <v>71515.070000000298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2345953.73</v>
      </c>
      <c r="Q84">
        <f>'Formato 6 a)'!C92</f>
        <v>-157097.29</v>
      </c>
      <c r="R84">
        <f>'Formato 6 a)'!D92</f>
        <v>2188856.44</v>
      </c>
      <c r="S84">
        <f>'Formato 6 a)'!E92</f>
        <v>2120535.04</v>
      </c>
      <c r="T84">
        <f>'Formato 6 a)'!F92</f>
        <v>2120535.04</v>
      </c>
      <c r="U84">
        <f>'Formato 6 a)'!G92</f>
        <v>68321.399999999907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4181800</v>
      </c>
      <c r="Q85">
        <f>'Formato 6 a)'!C93</f>
        <v>1746169.3700000003</v>
      </c>
      <c r="R85">
        <f>'Formato 6 a)'!D93</f>
        <v>5927969.3700000001</v>
      </c>
      <c r="S85">
        <f>'Formato 6 a)'!E93</f>
        <v>5815645.1400000006</v>
      </c>
      <c r="T85">
        <f>'Formato 6 a)'!F93</f>
        <v>5728315.6699999999</v>
      </c>
      <c r="U85">
        <f>'Formato 6 a)'!G93</f>
        <v>112324.22999999984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128300</v>
      </c>
      <c r="Q86">
        <f>'Formato 6 a)'!C94</f>
        <v>108833.62</v>
      </c>
      <c r="R86">
        <f>'Formato 6 a)'!D94</f>
        <v>237133.62</v>
      </c>
      <c r="S86">
        <f>'Formato 6 a)'!E94</f>
        <v>234724.53</v>
      </c>
      <c r="T86">
        <f>'Formato 6 a)'!F94</f>
        <v>203305.9</v>
      </c>
      <c r="U86">
        <f>'Formato 6 a)'!G94</f>
        <v>2409.0899999999965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110500</v>
      </c>
      <c r="Q87">
        <f>'Formato 6 a)'!C95</f>
        <v>139540</v>
      </c>
      <c r="R87">
        <f>'Formato 6 a)'!D95</f>
        <v>250040</v>
      </c>
      <c r="S87">
        <f>'Formato 6 a)'!E95</f>
        <v>243218.57</v>
      </c>
      <c r="T87">
        <f>'Formato 6 a)'!F95</f>
        <v>203478.57</v>
      </c>
      <c r="U87">
        <f>'Formato 6 a)'!G95</f>
        <v>6821.429999999993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32500</v>
      </c>
      <c r="Q89">
        <f>'Formato 6 a)'!C97</f>
        <v>528158.16</v>
      </c>
      <c r="R89">
        <f>'Formato 6 a)'!D97</f>
        <v>560658.16</v>
      </c>
      <c r="S89">
        <f>'Formato 6 a)'!E97</f>
        <v>558640.98</v>
      </c>
      <c r="T89">
        <f>'Formato 6 a)'!F97</f>
        <v>548640.98</v>
      </c>
      <c r="U89">
        <f>'Formato 6 a)'!G97</f>
        <v>2017.1800000000512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77000</v>
      </c>
      <c r="Q90">
        <f>'Formato 6 a)'!C98</f>
        <v>9329.66</v>
      </c>
      <c r="R90">
        <f>'Formato 6 a)'!D98</f>
        <v>86329.66</v>
      </c>
      <c r="S90">
        <f>'Formato 6 a)'!E98</f>
        <v>86319.08</v>
      </c>
      <c r="T90">
        <f>'Formato 6 a)'!F98</f>
        <v>86319.08</v>
      </c>
      <c r="U90">
        <f>'Formato 6 a)'!G98</f>
        <v>10.580000000001746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3162500</v>
      </c>
      <c r="Q91">
        <f>'Formato 6 a)'!C99</f>
        <v>886730.55</v>
      </c>
      <c r="R91">
        <f>'Formato 6 a)'!D99</f>
        <v>4049230.55</v>
      </c>
      <c r="S91">
        <f>'Formato 6 a)'!E99</f>
        <v>3957511.71</v>
      </c>
      <c r="T91">
        <f>'Formato 6 a)'!F99</f>
        <v>3957511.71</v>
      </c>
      <c r="U91">
        <f>'Formato 6 a)'!G99</f>
        <v>91718.839999999851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39500</v>
      </c>
      <c r="Q92">
        <f>'Formato 6 a)'!C100</f>
        <v>67904.289999999994</v>
      </c>
      <c r="R92">
        <f>'Formato 6 a)'!D100</f>
        <v>107404.29</v>
      </c>
      <c r="S92">
        <f>'Formato 6 a)'!E100</f>
        <v>107392.75</v>
      </c>
      <c r="T92">
        <f>'Formato 6 a)'!F100</f>
        <v>107392.75</v>
      </c>
      <c r="U92">
        <f>'Formato 6 a)'!G100</f>
        <v>11.539999999993597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631500</v>
      </c>
      <c r="Q94">
        <f>'Formato 6 a)'!C102</f>
        <v>5673.09</v>
      </c>
      <c r="R94">
        <f>'Formato 6 a)'!D102</f>
        <v>637173.09</v>
      </c>
      <c r="S94">
        <f>'Formato 6 a)'!E102</f>
        <v>627837.52</v>
      </c>
      <c r="T94">
        <f>'Formato 6 a)'!F102</f>
        <v>621666.68000000005</v>
      </c>
      <c r="U94">
        <f>'Formato 6 a)'!G102</f>
        <v>9335.5699999999488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13452588.689999999</v>
      </c>
      <c r="Q95">
        <f>'Formato 6 a)'!C103</f>
        <v>3256096.85</v>
      </c>
      <c r="R95">
        <f>'Formato 6 a)'!D103</f>
        <v>16708685.539999999</v>
      </c>
      <c r="S95">
        <f>'Formato 6 a)'!E103</f>
        <v>14833718.869999997</v>
      </c>
      <c r="T95">
        <f>'Formato 6 a)'!F103</f>
        <v>13945231.769999998</v>
      </c>
      <c r="U95">
        <f>'Formato 6 a)'!G103</f>
        <v>1874966.6699999997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7344380.2599999998</v>
      </c>
      <c r="Q96">
        <f>'Formato 6 a)'!C104</f>
        <v>3138655.11</v>
      </c>
      <c r="R96">
        <f>'Formato 6 a)'!D104</f>
        <v>10483035.369999999</v>
      </c>
      <c r="S96">
        <f>'Formato 6 a)'!E104</f>
        <v>10425342.199999999</v>
      </c>
      <c r="T96">
        <f>'Formato 6 a)'!F104</f>
        <v>9635387.9299999997</v>
      </c>
      <c r="U96">
        <f>'Formato 6 a)'!G104</f>
        <v>57693.169999999925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52300</v>
      </c>
      <c r="Q97">
        <f>'Formato 6 a)'!C105</f>
        <v>9176.9500000000007</v>
      </c>
      <c r="R97">
        <f>'Formato 6 a)'!D105</f>
        <v>61476.95</v>
      </c>
      <c r="S97">
        <f>'Formato 6 a)'!E105</f>
        <v>57868.59</v>
      </c>
      <c r="T97">
        <f>'Formato 6 a)'!F105</f>
        <v>57868.59</v>
      </c>
      <c r="U97">
        <f>'Formato 6 a)'!G105</f>
        <v>3608.3600000000006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4716759</v>
      </c>
      <c r="Q98">
        <f>'Formato 6 a)'!C106</f>
        <v>-154078.9</v>
      </c>
      <c r="R98">
        <f>'Formato 6 a)'!D106</f>
        <v>4562680.0999999996</v>
      </c>
      <c r="S98">
        <f>'Formato 6 a)'!E106</f>
        <v>2864178.02</v>
      </c>
      <c r="T98">
        <f>'Formato 6 a)'!F106</f>
        <v>2864178.02</v>
      </c>
      <c r="U98">
        <f>'Formato 6 a)'!G106</f>
        <v>1698502.0799999996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302330</v>
      </c>
      <c r="Q99">
        <f>'Formato 6 a)'!C107</f>
        <v>76955.98</v>
      </c>
      <c r="R99">
        <f>'Formato 6 a)'!D107</f>
        <v>379285.98</v>
      </c>
      <c r="S99">
        <f>'Formato 6 a)'!E107</f>
        <v>358664.7</v>
      </c>
      <c r="T99">
        <f>'Formato 6 a)'!F107</f>
        <v>358664.7</v>
      </c>
      <c r="U99">
        <f>'Formato 6 a)'!G107</f>
        <v>20621.27999999997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204000</v>
      </c>
      <c r="Q100">
        <f>'Formato 6 a)'!C108</f>
        <v>191911.54</v>
      </c>
      <c r="R100">
        <f>'Formato 6 a)'!D108</f>
        <v>395911.54000000004</v>
      </c>
      <c r="S100">
        <f>'Formato 6 a)'!E108</f>
        <v>393547.31</v>
      </c>
      <c r="T100">
        <f>'Formato 6 a)'!F108</f>
        <v>393547.31</v>
      </c>
      <c r="U100">
        <f>'Formato 6 a)'!G108</f>
        <v>2364.2300000000396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12953</v>
      </c>
      <c r="Q102">
        <f>'Formato 6 a)'!C110</f>
        <v>64699.48</v>
      </c>
      <c r="R102">
        <f>'Formato 6 a)'!D110</f>
        <v>77652.48000000001</v>
      </c>
      <c r="S102">
        <f>'Formato 6 a)'!E110</f>
        <v>28851.279999999999</v>
      </c>
      <c r="T102">
        <f>'Formato 6 a)'!F110</f>
        <v>28851.279999999999</v>
      </c>
      <c r="U102">
        <f>'Formato 6 a)'!G110</f>
        <v>48801.200000000012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819866.43</v>
      </c>
      <c r="Q104">
        <f>'Formato 6 a)'!C112</f>
        <v>-71223.31</v>
      </c>
      <c r="R104">
        <f>'Formato 6 a)'!D112</f>
        <v>748643.12000000011</v>
      </c>
      <c r="S104">
        <f>'Formato 6 a)'!E112</f>
        <v>705266.77</v>
      </c>
      <c r="T104">
        <f>'Formato 6 a)'!F112</f>
        <v>606733.93999999994</v>
      </c>
      <c r="U104">
        <f>'Formato 6 a)'!G112</f>
        <v>43376.350000000093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4680612.67</v>
      </c>
      <c r="Q105">
        <f>'Formato 6 a)'!C113</f>
        <v>12316547.92</v>
      </c>
      <c r="R105">
        <f>'Formato 6 a)'!D113</f>
        <v>16997160.59</v>
      </c>
      <c r="S105">
        <f>'Formato 6 a)'!E113</f>
        <v>16258839.01</v>
      </c>
      <c r="T105">
        <f>'Formato 6 a)'!F113</f>
        <v>11250073.619999999</v>
      </c>
      <c r="U105">
        <f>'Formato 6 a)'!G113</f>
        <v>738321.58000000031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2634012.67</v>
      </c>
      <c r="R106">
        <f>'Formato 6 a)'!D114</f>
        <v>2634012.67</v>
      </c>
      <c r="S106">
        <f>'Formato 6 a)'!E114</f>
        <v>2634012.67</v>
      </c>
      <c r="T106">
        <f>'Formato 6 a)'!F114</f>
        <v>2634012.67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4739478.96</v>
      </c>
      <c r="R108">
        <f>'Formato 6 a)'!D116</f>
        <v>4739478.96</v>
      </c>
      <c r="S108">
        <f>'Formato 6 a)'!E116</f>
        <v>4043124.1</v>
      </c>
      <c r="T108">
        <f>'Formato 6 a)'!F116</f>
        <v>4043124.1</v>
      </c>
      <c r="U108">
        <f>'Formato 6 a)'!G116</f>
        <v>696354.85999999987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1746600</v>
      </c>
      <c r="Q109">
        <f>'Formato 6 a)'!C117</f>
        <v>7577068.96</v>
      </c>
      <c r="R109">
        <f>'Formato 6 a)'!D117</f>
        <v>9323668.9600000009</v>
      </c>
      <c r="S109">
        <f>'Formato 6 a)'!E117</f>
        <v>9309202.2300000004</v>
      </c>
      <c r="T109">
        <f>'Formato 6 a)'!F117</f>
        <v>4300436.84</v>
      </c>
      <c r="U109">
        <f>'Formato 6 a)'!G117</f>
        <v>14466.730000000447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2934012.67</v>
      </c>
      <c r="Q113">
        <f>'Formato 6 a)'!C121</f>
        <v>-2634012.67</v>
      </c>
      <c r="R113">
        <f>'Formato 6 a)'!D121</f>
        <v>300000</v>
      </c>
      <c r="S113">
        <f>'Formato 6 a)'!E121</f>
        <v>272500.01</v>
      </c>
      <c r="T113">
        <f>'Formato 6 a)'!F121</f>
        <v>272500.01</v>
      </c>
      <c r="U113">
        <f>'Formato 6 a)'!G121</f>
        <v>27499.989999999991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7016009.4199999999</v>
      </c>
      <c r="R115">
        <f>'Formato 6 a)'!D123</f>
        <v>7016009.4199999999</v>
      </c>
      <c r="S115">
        <f>'Formato 6 a)'!E123</f>
        <v>6925187.3899999997</v>
      </c>
      <c r="T115">
        <f>'Formato 6 a)'!F123</f>
        <v>5429338.9399999995</v>
      </c>
      <c r="U115">
        <f>'Formato 6 a)'!G123</f>
        <v>90822.030000000464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1395790.44</v>
      </c>
      <c r="R116">
        <f>'Formato 6 a)'!D124</f>
        <v>1395790.44</v>
      </c>
      <c r="S116">
        <f>'Formato 6 a)'!E124</f>
        <v>1378790.42</v>
      </c>
      <c r="T116">
        <f>'Formato 6 a)'!F124</f>
        <v>17000</v>
      </c>
      <c r="U116">
        <f>'Formato 6 a)'!G124</f>
        <v>17000.020000000019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32890</v>
      </c>
      <c r="R117">
        <f>'Formato 6 a)'!D125</f>
        <v>32890</v>
      </c>
      <c r="S117">
        <f>'Formato 6 a)'!E125</f>
        <v>32889.99</v>
      </c>
      <c r="T117">
        <f>'Formato 6 a)'!F125</f>
        <v>0</v>
      </c>
      <c r="U117">
        <f>'Formato 6 a)'!G125</f>
        <v>1.0000000002037268E-2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200812.06</v>
      </c>
      <c r="R118">
        <f>'Formato 6 a)'!D126</f>
        <v>200812.06</v>
      </c>
      <c r="S118">
        <f>'Formato 6 a)'!E126</f>
        <v>150990.04</v>
      </c>
      <c r="T118">
        <f>'Formato 6 a)'!F126</f>
        <v>49822</v>
      </c>
      <c r="U118">
        <f>'Formato 6 a)'!G126</f>
        <v>49822.01999999999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4798861.16</v>
      </c>
      <c r="R119">
        <f>'Formato 6 a)'!D127</f>
        <v>4798861.16</v>
      </c>
      <c r="S119">
        <f>'Formato 6 a)'!E127</f>
        <v>4774861.18</v>
      </c>
      <c r="T119">
        <f>'Formato 6 a)'!F127</f>
        <v>4774861.18</v>
      </c>
      <c r="U119">
        <f>'Formato 6 a)'!G127</f>
        <v>23999.980000000447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587655.76</v>
      </c>
      <c r="R121">
        <f>'Formato 6 a)'!D129</f>
        <v>587655.76</v>
      </c>
      <c r="S121">
        <f>'Formato 6 a)'!E129</f>
        <v>587655.76</v>
      </c>
      <c r="T121">
        <f>'Formato 6 a)'!F129</f>
        <v>587655.76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107376911.73999999</v>
      </c>
      <c r="Q125">
        <f>'Formato 6 a)'!C133</f>
        <v>113844091.95</v>
      </c>
      <c r="R125">
        <f>'Formato 6 a)'!D133</f>
        <v>221221003.69</v>
      </c>
      <c r="S125">
        <f>'Formato 6 a)'!E133</f>
        <v>137731876.75999999</v>
      </c>
      <c r="T125">
        <f>'Formato 6 a)'!F133</f>
        <v>126145370.5</v>
      </c>
      <c r="U125">
        <f>'Formato 6 a)'!G133</f>
        <v>83489126.930000007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103422292</v>
      </c>
      <c r="Q126">
        <f>'Formato 6 a)'!C134</f>
        <v>111899895.55</v>
      </c>
      <c r="R126">
        <f>'Formato 6 a)'!D134</f>
        <v>215322187.55000001</v>
      </c>
      <c r="S126">
        <f>'Formato 6 a)'!E134</f>
        <v>134098550.11</v>
      </c>
      <c r="T126">
        <f>'Formato 6 a)'!F134</f>
        <v>122629528.94</v>
      </c>
      <c r="U126">
        <f>'Formato 6 a)'!G134</f>
        <v>81223637.440000013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3954619.74</v>
      </c>
      <c r="Q127">
        <f>'Formato 6 a)'!C135</f>
        <v>1944196.4</v>
      </c>
      <c r="R127">
        <f>'Formato 6 a)'!D135</f>
        <v>5898816.1400000006</v>
      </c>
      <c r="S127">
        <f>'Formato 6 a)'!E135</f>
        <v>3633326.65</v>
      </c>
      <c r="T127">
        <f>'Formato 6 a)'!F135</f>
        <v>3515841.56</v>
      </c>
      <c r="U127">
        <f>'Formato 6 a)'!G135</f>
        <v>2265489.4900000007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7873888</v>
      </c>
      <c r="Q138">
        <f>'Formato 6 a)'!C146</f>
        <v>-3504380.36</v>
      </c>
      <c r="R138">
        <f>'Formato 6 a)'!D146</f>
        <v>4369507.6400000006</v>
      </c>
      <c r="S138">
        <f>'Formato 6 a)'!E146</f>
        <v>4369507.6399999997</v>
      </c>
      <c r="T138">
        <f>'Formato 6 a)'!F146</f>
        <v>4369507.6399999997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7873888</v>
      </c>
      <c r="Q141">
        <f>'Formato 6 a)'!C149</f>
        <v>-3504380.36</v>
      </c>
      <c r="R141">
        <f>'Formato 6 a)'!D149</f>
        <v>4369507.6400000006</v>
      </c>
      <c r="S141">
        <f>'Formato 6 a)'!E149</f>
        <v>4369507.6399999997</v>
      </c>
      <c r="T141">
        <f>'Formato 6 a)'!F149</f>
        <v>4369507.6399999997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285303603</v>
      </c>
      <c r="Q150">
        <f>'Formato 6 a)'!C159</f>
        <v>203520529.98000002</v>
      </c>
      <c r="R150">
        <f>'Formato 6 a)'!D159</f>
        <v>488824132.98000002</v>
      </c>
      <c r="S150">
        <f>'Formato 6 a)'!E159</f>
        <v>371990921.88999999</v>
      </c>
      <c r="T150">
        <f>'Formato 6 a)'!F159</f>
        <v>349579503.56</v>
      </c>
      <c r="U150">
        <f>'Formato 6 a)'!G159</f>
        <v>116833211.09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13" zoomScale="90" zoomScaleNormal="90" workbookViewId="0">
      <selection activeCell="G29" sqref="G29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7" t="s">
        <v>3291</v>
      </c>
      <c r="B1" s="177"/>
      <c r="C1" s="177"/>
      <c r="D1" s="177"/>
      <c r="E1" s="177"/>
      <c r="F1" s="177"/>
      <c r="G1" s="177"/>
    </row>
    <row r="2" spans="1:7" ht="14.25" x14ac:dyDescent="0.45">
      <c r="A2" s="158" t="str">
        <f>ENTE_PUBLICO_A</f>
        <v>ORGANISMO, Gobierno del Estado de Guanajuato (a)</v>
      </c>
      <c r="B2" s="159"/>
      <c r="C2" s="159"/>
      <c r="D2" s="159"/>
      <c r="E2" s="159"/>
      <c r="F2" s="159"/>
      <c r="G2" s="160"/>
    </row>
    <row r="3" spans="1:7" x14ac:dyDescent="0.25">
      <c r="A3" s="161" t="s">
        <v>277</v>
      </c>
      <c r="B3" s="162"/>
      <c r="C3" s="162"/>
      <c r="D3" s="162"/>
      <c r="E3" s="162"/>
      <c r="F3" s="162"/>
      <c r="G3" s="163"/>
    </row>
    <row r="4" spans="1:7" x14ac:dyDescent="0.25">
      <c r="A4" s="161" t="s">
        <v>431</v>
      </c>
      <c r="B4" s="162"/>
      <c r="C4" s="162"/>
      <c r="D4" s="162"/>
      <c r="E4" s="162"/>
      <c r="F4" s="162"/>
      <c r="G4" s="163"/>
    </row>
    <row r="5" spans="1:7" ht="14.25" x14ac:dyDescent="0.45">
      <c r="A5" s="164" t="str">
        <f>TRIMESTRE</f>
        <v>Del 1 de enero al 31 de diciembre de 2017 (b)</v>
      </c>
      <c r="B5" s="165"/>
      <c r="C5" s="165"/>
      <c r="D5" s="165"/>
      <c r="E5" s="165"/>
      <c r="F5" s="165"/>
      <c r="G5" s="166"/>
    </row>
    <row r="6" spans="1:7" ht="14.25" x14ac:dyDescent="0.45">
      <c r="A6" s="167" t="s">
        <v>118</v>
      </c>
      <c r="B6" s="168"/>
      <c r="C6" s="168"/>
      <c r="D6" s="168"/>
      <c r="E6" s="168"/>
      <c r="F6" s="168"/>
      <c r="G6" s="169"/>
    </row>
    <row r="7" spans="1:7" x14ac:dyDescent="0.25">
      <c r="A7" s="173" t="s">
        <v>0</v>
      </c>
      <c r="B7" s="175" t="s">
        <v>279</v>
      </c>
      <c r="C7" s="175"/>
      <c r="D7" s="175"/>
      <c r="E7" s="175"/>
      <c r="F7" s="175"/>
      <c r="G7" s="179" t="s">
        <v>280</v>
      </c>
    </row>
    <row r="8" spans="1:7" ht="30" x14ac:dyDescent="0.25">
      <c r="A8" s="174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8"/>
    </row>
    <row r="9" spans="1:7" ht="14.25" x14ac:dyDescent="0.45">
      <c r="A9" s="52" t="s">
        <v>440</v>
      </c>
      <c r="B9" s="59">
        <f>SUM(B10:GASTO_NE_FIN_01)</f>
        <v>113994962</v>
      </c>
      <c r="C9" s="59">
        <f>SUM(C10:GASTO_NE_FIN_02)</f>
        <v>70380286.659999996</v>
      </c>
      <c r="D9" s="59">
        <f>SUM(D10:GASTO_NE_FIN_03)</f>
        <v>184375248.66</v>
      </c>
      <c r="E9" s="59">
        <f>SUM(E10:GASTO_NE_FIN_04)</f>
        <v>154729062.47</v>
      </c>
      <c r="F9" s="59">
        <f>SUM(F10:GASTO_NE_FIN_05)</f>
        <v>152039958.75000003</v>
      </c>
      <c r="G9" s="59">
        <f>SUM(G10:GASTO_NE_FIN_06)</f>
        <v>29646186.189999998</v>
      </c>
    </row>
    <row r="10" spans="1:7" s="24" customFormat="1" x14ac:dyDescent="0.25">
      <c r="A10" s="143" t="s">
        <v>432</v>
      </c>
      <c r="B10" s="60">
        <v>113994962</v>
      </c>
      <c r="C10" s="60">
        <v>70380286.659999996</v>
      </c>
      <c r="D10" s="60">
        <v>184375248.66</v>
      </c>
      <c r="E10" s="60">
        <v>154729062.47</v>
      </c>
      <c r="F10" s="60">
        <v>152039958.75000003</v>
      </c>
      <c r="G10" s="77">
        <f>D10-E10</f>
        <v>29646186.189999998</v>
      </c>
    </row>
    <row r="11" spans="1:7" s="24" customFormat="1" ht="14.25" x14ac:dyDescent="0.45">
      <c r="A11" s="143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f t="shared" ref="G11:G17" si="0">D11-E11</f>
        <v>0</v>
      </c>
    </row>
    <row r="12" spans="1:7" s="24" customFormat="1" ht="14.25" x14ac:dyDescent="0.45">
      <c r="A12" s="143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si="0"/>
        <v>0</v>
      </c>
    </row>
    <row r="13" spans="1:7" s="24" customFormat="1" ht="14.25" x14ac:dyDescent="0.45">
      <c r="A13" s="143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ht="14.25" x14ac:dyDescent="0.45">
      <c r="A14" s="143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ht="14.25" x14ac:dyDescent="0.45">
      <c r="A15" s="143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ht="14.25" x14ac:dyDescent="0.45">
      <c r="A16" s="143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ht="14.25" x14ac:dyDescent="0.45">
      <c r="A17" s="143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171308641</v>
      </c>
      <c r="C19" s="61">
        <f>SUM(C20:GASTO_E_FIN_02)</f>
        <v>133140243.31999999</v>
      </c>
      <c r="D19" s="61">
        <f>SUM(D20:GASTO_E_FIN_03)</f>
        <v>304448884.31999999</v>
      </c>
      <c r="E19" s="61">
        <f>SUM(E20:GASTO_E_FIN_04)</f>
        <v>217261859.42000002</v>
      </c>
      <c r="F19" s="61">
        <f>SUM(F20:GASTO_E_FIN_05)</f>
        <v>197539544.81</v>
      </c>
      <c r="G19" s="61">
        <f>SUM(G20:GASTO_E_FIN_06)</f>
        <v>87187024.899999976</v>
      </c>
    </row>
    <row r="20" spans="1:7" s="24" customFormat="1" x14ac:dyDescent="0.25">
      <c r="A20" s="143" t="s">
        <v>432</v>
      </c>
      <c r="B20" s="60">
        <v>171308641</v>
      </c>
      <c r="C20" s="60">
        <v>133140243.31999999</v>
      </c>
      <c r="D20" s="60">
        <v>304448884.31999999</v>
      </c>
      <c r="E20" s="60">
        <v>217261859.42000002</v>
      </c>
      <c r="F20" s="60">
        <v>197539544.81</v>
      </c>
      <c r="G20" s="60">
        <f>D20-E20</f>
        <v>87187024.899999976</v>
      </c>
    </row>
    <row r="21" spans="1:7" s="24" customFormat="1" ht="14.25" x14ac:dyDescent="0.45">
      <c r="A21" s="143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ht="14.25" x14ac:dyDescent="0.45">
      <c r="A22" s="143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ht="14.25" x14ac:dyDescent="0.45">
      <c r="A23" s="143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ht="14.25" x14ac:dyDescent="0.45">
      <c r="A24" s="143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x14ac:dyDescent="0.25">
      <c r="A25" s="143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x14ac:dyDescent="0.25">
      <c r="A26" s="143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x14ac:dyDescent="0.25">
      <c r="A27" s="143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285303603</v>
      </c>
      <c r="C29" s="61">
        <f>GASTO_NE_T2+GASTO_E_T2</f>
        <v>203520529.97999999</v>
      </c>
      <c r="D29" s="61">
        <f>GASTO_NE_T3+GASTO_E_T3</f>
        <v>488824132.98000002</v>
      </c>
      <c r="E29" s="61">
        <f>GASTO_NE_T4+GASTO_E_T4</f>
        <v>371990921.88999999</v>
      </c>
      <c r="F29" s="61">
        <f>GASTO_NE_T5+GASTO_E_T5</f>
        <v>349579503.56000006</v>
      </c>
      <c r="G29" s="61">
        <f>GASTO_NE_T6+GASTO_E_T6</f>
        <v>116833211.08999997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113994962</v>
      </c>
      <c r="Q2" s="18">
        <f>GASTO_NE_T2</f>
        <v>70380286.659999996</v>
      </c>
      <c r="R2" s="18">
        <f>GASTO_NE_T3</f>
        <v>184375248.66</v>
      </c>
      <c r="S2" s="18">
        <f>GASTO_NE_T4</f>
        <v>154729062.47</v>
      </c>
      <c r="T2" s="18">
        <f>GASTO_NE_T5</f>
        <v>152039958.75000003</v>
      </c>
      <c r="U2" s="18">
        <f>GASTO_NE_T6</f>
        <v>29646186.189999998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171308641</v>
      </c>
      <c r="Q3" s="18">
        <f>GASTO_E_T2</f>
        <v>133140243.31999999</v>
      </c>
      <c r="R3" s="18">
        <f>GASTO_E_T3</f>
        <v>304448884.31999999</v>
      </c>
      <c r="S3" s="18">
        <f>GASTO_E_T4</f>
        <v>217261859.42000002</v>
      </c>
      <c r="T3" s="18">
        <f>GASTO_E_T5</f>
        <v>197539544.81</v>
      </c>
      <c r="U3" s="18">
        <f>GASTO_E_T6</f>
        <v>87187024.899999976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285303603</v>
      </c>
      <c r="Q4" s="18">
        <f>TOTAL_E_T2</f>
        <v>203520529.97999999</v>
      </c>
      <c r="R4" s="18">
        <f>TOTAL_E_T3</f>
        <v>488824132.98000002</v>
      </c>
      <c r="S4" s="18">
        <f>TOTAL_E_T4</f>
        <v>371990921.88999999</v>
      </c>
      <c r="T4" s="18">
        <f>TOTAL_E_T5</f>
        <v>349579503.56000006</v>
      </c>
      <c r="U4" s="18">
        <f>TOTAL_E_T6</f>
        <v>116833211.08999997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28" zoomScale="90" zoomScaleNormal="90" workbookViewId="0">
      <selection activeCell="F77" sqref="F77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3" t="s">
        <v>3290</v>
      </c>
      <c r="B1" s="184"/>
      <c r="C1" s="184"/>
      <c r="D1" s="184"/>
      <c r="E1" s="184"/>
      <c r="F1" s="184"/>
      <c r="G1" s="184"/>
    </row>
    <row r="2" spans="1:7" ht="14.25" x14ac:dyDescent="0.45">
      <c r="A2" s="158" t="str">
        <f>ENTE_PUBLICO_A</f>
        <v>ORGANISMO, Gobierno del Estado de Guanajuato (a)</v>
      </c>
      <c r="B2" s="159"/>
      <c r="C2" s="159"/>
      <c r="D2" s="159"/>
      <c r="E2" s="159"/>
      <c r="F2" s="159"/>
      <c r="G2" s="160"/>
    </row>
    <row r="3" spans="1:7" x14ac:dyDescent="0.25">
      <c r="A3" s="161" t="s">
        <v>396</v>
      </c>
      <c r="B3" s="162"/>
      <c r="C3" s="162"/>
      <c r="D3" s="162"/>
      <c r="E3" s="162"/>
      <c r="F3" s="162"/>
      <c r="G3" s="163"/>
    </row>
    <row r="4" spans="1:7" x14ac:dyDescent="0.25">
      <c r="A4" s="161" t="s">
        <v>397</v>
      </c>
      <c r="B4" s="162"/>
      <c r="C4" s="162"/>
      <c r="D4" s="162"/>
      <c r="E4" s="162"/>
      <c r="F4" s="162"/>
      <c r="G4" s="163"/>
    </row>
    <row r="5" spans="1:7" ht="14.25" x14ac:dyDescent="0.45">
      <c r="A5" s="164" t="str">
        <f>TRIMESTRE</f>
        <v>Del 1 de enero al 31 de diciembre de 2017 (b)</v>
      </c>
      <c r="B5" s="165"/>
      <c r="C5" s="165"/>
      <c r="D5" s="165"/>
      <c r="E5" s="165"/>
      <c r="F5" s="165"/>
      <c r="G5" s="166"/>
    </row>
    <row r="6" spans="1:7" ht="14.25" x14ac:dyDescent="0.45">
      <c r="A6" s="167" t="s">
        <v>118</v>
      </c>
      <c r="B6" s="168"/>
      <c r="C6" s="168"/>
      <c r="D6" s="168"/>
      <c r="E6" s="168"/>
      <c r="F6" s="168"/>
      <c r="G6" s="169"/>
    </row>
    <row r="7" spans="1:7" x14ac:dyDescent="0.25">
      <c r="A7" s="162" t="s">
        <v>0</v>
      </c>
      <c r="B7" s="167" t="s">
        <v>279</v>
      </c>
      <c r="C7" s="168"/>
      <c r="D7" s="168"/>
      <c r="E7" s="168"/>
      <c r="F7" s="169"/>
      <c r="G7" s="179" t="s">
        <v>3287</v>
      </c>
    </row>
    <row r="8" spans="1:7" ht="30.75" customHeight="1" x14ac:dyDescent="0.25">
      <c r="A8" s="162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8"/>
    </row>
    <row r="9" spans="1:7" ht="14.25" x14ac:dyDescent="0.45">
      <c r="A9" s="52" t="s">
        <v>363</v>
      </c>
      <c r="B9" s="70">
        <f>SUM(B10,B19,B27,B37)</f>
        <v>113994962</v>
      </c>
      <c r="C9" s="70">
        <f t="shared" ref="C9:G9" si="0">SUM(C10,C19,C27,C37)</f>
        <v>70380286.659999996</v>
      </c>
      <c r="D9" s="70">
        <f t="shared" si="0"/>
        <v>184375248.65999997</v>
      </c>
      <c r="E9" s="70">
        <f t="shared" si="0"/>
        <v>154729062.47</v>
      </c>
      <c r="F9" s="70">
        <f t="shared" si="0"/>
        <v>152039958.75000003</v>
      </c>
      <c r="G9" s="70">
        <f t="shared" si="0"/>
        <v>29646186.190000001</v>
      </c>
    </row>
    <row r="10" spans="1:7" ht="14.25" x14ac:dyDescent="0.45">
      <c r="A10" s="53" t="s">
        <v>364</v>
      </c>
      <c r="B10" s="71">
        <f>SUM(B11:B18)</f>
        <v>52633862.149999999</v>
      </c>
      <c r="C10" s="71">
        <f t="shared" ref="C10:F10" si="1">SUM(C11:C18)</f>
        <v>20615058.730000004</v>
      </c>
      <c r="D10" s="71">
        <f t="shared" si="1"/>
        <v>73248920.879999995</v>
      </c>
      <c r="E10" s="71">
        <f t="shared" si="1"/>
        <v>62431185.109999999</v>
      </c>
      <c r="F10" s="71">
        <f t="shared" si="1"/>
        <v>61938785.619999997</v>
      </c>
      <c r="G10" s="71">
        <f>SUM(G11:G18)</f>
        <v>10817735.77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63" t="s">
        <v>366</v>
      </c>
      <c r="B12" s="72">
        <v>497958.97</v>
      </c>
      <c r="C12" s="72">
        <v>16387.580000000002</v>
      </c>
      <c r="D12" s="72">
        <v>514346.55</v>
      </c>
      <c r="E12" s="72">
        <v>496060.84</v>
      </c>
      <c r="F12" s="72">
        <v>484414.92</v>
      </c>
      <c r="G12" s="72">
        <f t="shared" ref="G12:G18" si="2">D12-E12</f>
        <v>18285.709999999963</v>
      </c>
    </row>
    <row r="13" spans="1:7" x14ac:dyDescent="0.25">
      <c r="A13" s="63" t="s">
        <v>367</v>
      </c>
      <c r="B13" s="72">
        <v>28509156.670000002</v>
      </c>
      <c r="C13" s="72">
        <v>3768298.31</v>
      </c>
      <c r="D13" s="72">
        <v>32277454.98</v>
      </c>
      <c r="E13" s="72">
        <v>26599563.289999999</v>
      </c>
      <c r="F13" s="72">
        <v>26303738.329999998</v>
      </c>
      <c r="G13" s="72">
        <f t="shared" si="2"/>
        <v>5677891.6900000013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369</v>
      </c>
      <c r="B15" s="72">
        <v>19789144.149999999</v>
      </c>
      <c r="C15" s="72">
        <v>3893130.41</v>
      </c>
      <c r="D15" s="72">
        <v>23682274.559999999</v>
      </c>
      <c r="E15" s="72">
        <v>21806976.07</v>
      </c>
      <c r="F15" s="72">
        <v>21685429.530000001</v>
      </c>
      <c r="G15" s="72">
        <f t="shared" si="2"/>
        <v>1875298.4899999984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12657396.720000001</v>
      </c>
      <c r="D17" s="72">
        <v>12657396.720000001</v>
      </c>
      <c r="E17" s="72">
        <v>9818837.0399999991</v>
      </c>
      <c r="F17" s="72">
        <v>9818837.0399999991</v>
      </c>
      <c r="G17" s="72">
        <f t="shared" si="2"/>
        <v>2838559.6800000016</v>
      </c>
    </row>
    <row r="18" spans="1:7" x14ac:dyDescent="0.25">
      <c r="A18" s="63" t="s">
        <v>372</v>
      </c>
      <c r="B18" s="72">
        <v>3837602.36</v>
      </c>
      <c r="C18" s="72">
        <v>279845.71000000002</v>
      </c>
      <c r="D18" s="72">
        <v>4117448.07</v>
      </c>
      <c r="E18" s="72">
        <v>3709747.87</v>
      </c>
      <c r="F18" s="72">
        <v>3646365.8</v>
      </c>
      <c r="G18" s="72">
        <f t="shared" si="2"/>
        <v>407700.19999999972</v>
      </c>
    </row>
    <row r="19" spans="1:7" ht="14.25" x14ac:dyDescent="0.45">
      <c r="A19" s="53" t="s">
        <v>373</v>
      </c>
      <c r="B19" s="71">
        <f>SUM(B20:B26)</f>
        <v>56030789.660000004</v>
      </c>
      <c r="C19" s="71">
        <f t="shared" ref="C19:F19" si="3">SUM(C20:C26)</f>
        <v>49252864.989999995</v>
      </c>
      <c r="D19" s="71">
        <f t="shared" si="3"/>
        <v>105283654.64999999</v>
      </c>
      <c r="E19" s="71">
        <f t="shared" si="3"/>
        <v>87045419.799999997</v>
      </c>
      <c r="F19" s="71">
        <f t="shared" si="3"/>
        <v>84941155.300000012</v>
      </c>
      <c r="G19" s="71">
        <f>SUM(G20:G26)</f>
        <v>18238234.850000001</v>
      </c>
    </row>
    <row r="20" spans="1:7" x14ac:dyDescent="0.25">
      <c r="A20" s="63" t="s">
        <v>374</v>
      </c>
      <c r="B20" s="71">
        <v>12093523.75</v>
      </c>
      <c r="C20" s="71">
        <v>744806.73</v>
      </c>
      <c r="D20" s="71">
        <v>12838330.48</v>
      </c>
      <c r="E20" s="71">
        <v>11884044.41</v>
      </c>
      <c r="F20" s="71">
        <v>11617602.23</v>
      </c>
      <c r="G20" s="72">
        <f>D20-E20</f>
        <v>954286.0700000003</v>
      </c>
    </row>
    <row r="21" spans="1:7" x14ac:dyDescent="0.25">
      <c r="A21" s="63" t="s">
        <v>375</v>
      </c>
      <c r="B21" s="71">
        <v>31874895.699999999</v>
      </c>
      <c r="C21" s="71">
        <v>47502960.43</v>
      </c>
      <c r="D21" s="71">
        <v>79377856.129999995</v>
      </c>
      <c r="E21" s="71">
        <v>63082457.469999999</v>
      </c>
      <c r="F21" s="71">
        <v>61466355.5</v>
      </c>
      <c r="G21" s="72">
        <f t="shared" ref="G21:G26" si="4">D21-E21</f>
        <v>16295398.659999996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8369580.3300000001</v>
      </c>
      <c r="C23" s="71">
        <v>824104.05</v>
      </c>
      <c r="D23" s="71">
        <v>9193684.3800000008</v>
      </c>
      <c r="E23" s="71">
        <v>8550895.6099999994</v>
      </c>
      <c r="F23" s="71">
        <v>8401325.8699999992</v>
      </c>
      <c r="G23" s="72">
        <f t="shared" si="4"/>
        <v>642788.77000000142</v>
      </c>
    </row>
    <row r="24" spans="1:7" x14ac:dyDescent="0.25">
      <c r="A24" s="63" t="s">
        <v>378</v>
      </c>
      <c r="B24" s="71">
        <v>3692789.88</v>
      </c>
      <c r="C24" s="71">
        <v>180993.78</v>
      </c>
      <c r="D24" s="71">
        <v>3873783.6599999997</v>
      </c>
      <c r="E24" s="71">
        <v>3528022.31</v>
      </c>
      <c r="F24" s="71">
        <v>3455871.7</v>
      </c>
      <c r="G24" s="72">
        <f t="shared" si="4"/>
        <v>345761.34999999963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5330310.1900000004</v>
      </c>
      <c r="C27" s="71">
        <f t="shared" ref="C27:F27" si="5">SUM(C28:C36)</f>
        <v>512362.94</v>
      </c>
      <c r="D27" s="71">
        <f t="shared" si="5"/>
        <v>5842673.1300000008</v>
      </c>
      <c r="E27" s="71">
        <f t="shared" si="5"/>
        <v>5252457.5599999996</v>
      </c>
      <c r="F27" s="71">
        <f t="shared" si="5"/>
        <v>5160017.83</v>
      </c>
      <c r="G27" s="71">
        <f>SUM(G28:G36)</f>
        <v>590215.57000000123</v>
      </c>
    </row>
    <row r="28" spans="1:7" x14ac:dyDescent="0.25">
      <c r="A28" s="69" t="s">
        <v>382</v>
      </c>
      <c r="B28" s="71">
        <v>5330310.1900000004</v>
      </c>
      <c r="C28" s="71">
        <v>502618.94</v>
      </c>
      <c r="D28" s="71">
        <v>5832929.1300000008</v>
      </c>
      <c r="E28" s="71">
        <v>5251141.5599999996</v>
      </c>
      <c r="F28" s="71">
        <v>5158701.83</v>
      </c>
      <c r="G28" s="72">
        <f>D28-E28</f>
        <v>581787.57000000123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9744</v>
      </c>
      <c r="D30" s="71">
        <v>9744</v>
      </c>
      <c r="E30" s="71">
        <v>1316</v>
      </c>
      <c r="F30" s="71">
        <v>1316</v>
      </c>
      <c r="G30" s="72">
        <f t="shared" si="6"/>
        <v>8428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171308641</v>
      </c>
      <c r="C43" s="73">
        <f t="shared" ref="C43:G43" si="9">SUM(C44,C53,C61,C71)</f>
        <v>133140243.31999999</v>
      </c>
      <c r="D43" s="73">
        <f t="shared" si="9"/>
        <v>304448884.31999999</v>
      </c>
      <c r="E43" s="73">
        <f t="shared" si="9"/>
        <v>217261859.42000002</v>
      </c>
      <c r="F43" s="73">
        <f t="shared" si="9"/>
        <v>197539544.81</v>
      </c>
      <c r="G43" s="73">
        <f t="shared" si="9"/>
        <v>87187024.899999976</v>
      </c>
    </row>
    <row r="44" spans="1:7" x14ac:dyDescent="0.25">
      <c r="A44" s="53" t="s">
        <v>430</v>
      </c>
      <c r="B44" s="72">
        <f>SUM(B45:B52)</f>
        <v>45232102</v>
      </c>
      <c r="C44" s="72">
        <f t="shared" ref="C44:G44" si="10">SUM(C45:C52)</f>
        <v>1161801.22</v>
      </c>
      <c r="D44" s="72">
        <f t="shared" si="10"/>
        <v>46393903.219999999</v>
      </c>
      <c r="E44" s="72">
        <f t="shared" si="10"/>
        <v>44867947.75</v>
      </c>
      <c r="F44" s="72">
        <f t="shared" si="10"/>
        <v>44138875.170000002</v>
      </c>
      <c r="G44" s="72">
        <f t="shared" si="10"/>
        <v>1525955.4699999986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2934012.67</v>
      </c>
      <c r="C47" s="72">
        <v>0</v>
      </c>
      <c r="D47" s="72">
        <v>2934012.67</v>
      </c>
      <c r="E47" s="72">
        <v>2906512.68</v>
      </c>
      <c r="F47" s="72">
        <v>2906512.68</v>
      </c>
      <c r="G47" s="72">
        <f t="shared" si="11"/>
        <v>27499.989999999758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330</v>
      </c>
      <c r="C49" s="72">
        <v>313400</v>
      </c>
      <c r="D49" s="72">
        <v>313730</v>
      </c>
      <c r="E49" s="72">
        <v>285172.24</v>
      </c>
      <c r="F49" s="72">
        <v>284963.14</v>
      </c>
      <c r="G49" s="72">
        <f t="shared" si="11"/>
        <v>28557.760000000009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42297759.329999998</v>
      </c>
      <c r="C51" s="72">
        <v>848401.22</v>
      </c>
      <c r="D51" s="72">
        <v>43146160.549999997</v>
      </c>
      <c r="E51" s="72">
        <v>41676262.829999998</v>
      </c>
      <c r="F51" s="72">
        <v>40947399.350000001</v>
      </c>
      <c r="G51" s="72">
        <f t="shared" si="11"/>
        <v>1469897.7199999988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126076539</v>
      </c>
      <c r="C53" s="71">
        <f t="shared" ref="C53:G53" si="12">SUM(C54:C60)</f>
        <v>131835812.09999999</v>
      </c>
      <c r="D53" s="71">
        <f t="shared" si="12"/>
        <v>257912351.09999999</v>
      </c>
      <c r="E53" s="71">
        <f t="shared" si="12"/>
        <v>172251301.67000002</v>
      </c>
      <c r="F53" s="71">
        <f t="shared" si="12"/>
        <v>153258059.63999999</v>
      </c>
      <c r="G53" s="71">
        <f t="shared" si="12"/>
        <v>85661049.429999977</v>
      </c>
    </row>
    <row r="54" spans="1:7" x14ac:dyDescent="0.25">
      <c r="A54" s="69" t="s">
        <v>374</v>
      </c>
      <c r="B54" s="71">
        <v>0</v>
      </c>
      <c r="C54" s="71">
        <v>3432836.96</v>
      </c>
      <c r="D54" s="71">
        <v>3432836.96</v>
      </c>
      <c r="E54" s="71">
        <v>3432836.96</v>
      </c>
      <c r="F54" s="71">
        <v>3432836.96</v>
      </c>
      <c r="G54" s="72">
        <f>D54-E54</f>
        <v>0</v>
      </c>
    </row>
    <row r="55" spans="1:7" x14ac:dyDescent="0.25">
      <c r="A55" s="69" t="s">
        <v>375</v>
      </c>
      <c r="B55" s="71">
        <v>124929939</v>
      </c>
      <c r="C55" s="71">
        <v>128405975.14</v>
      </c>
      <c r="D55" s="71">
        <v>253335914.13999999</v>
      </c>
      <c r="E55" s="71">
        <v>167674864.71000001</v>
      </c>
      <c r="F55" s="71">
        <v>148681622.67999998</v>
      </c>
      <c r="G55" s="72">
        <f t="shared" ref="G55:G60" si="13">D55-E55</f>
        <v>85661049.429999977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3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3"/>
        <v>0</v>
      </c>
    </row>
    <row r="58" spans="1:7" x14ac:dyDescent="0.25">
      <c r="A58" s="69" t="s">
        <v>378</v>
      </c>
      <c r="B58" s="71">
        <v>1146600</v>
      </c>
      <c r="C58" s="71">
        <v>-3000</v>
      </c>
      <c r="D58" s="71">
        <v>1143600</v>
      </c>
      <c r="E58" s="71">
        <v>1143600</v>
      </c>
      <c r="F58" s="71">
        <v>1143600</v>
      </c>
      <c r="G58" s="72">
        <f t="shared" si="13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3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142630</v>
      </c>
      <c r="D61" s="71">
        <f t="shared" si="14"/>
        <v>142630</v>
      </c>
      <c r="E61" s="71">
        <f t="shared" si="14"/>
        <v>142610</v>
      </c>
      <c r="F61" s="71">
        <f t="shared" si="14"/>
        <v>142610</v>
      </c>
      <c r="G61" s="71">
        <f t="shared" si="14"/>
        <v>20</v>
      </c>
    </row>
    <row r="62" spans="1:7" x14ac:dyDescent="0.25">
      <c r="A62" s="69" t="s">
        <v>382</v>
      </c>
      <c r="B62" s="71">
        <v>0</v>
      </c>
      <c r="C62" s="71">
        <v>142630</v>
      </c>
      <c r="D62" s="71">
        <v>142630</v>
      </c>
      <c r="E62" s="71">
        <v>142610</v>
      </c>
      <c r="F62" s="71">
        <v>142610</v>
      </c>
      <c r="G62" s="72">
        <f>D62-E62</f>
        <v>20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5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5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5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5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5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5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5"/>
        <v>0</v>
      </c>
    </row>
    <row r="71" spans="1:8" x14ac:dyDescent="0.25">
      <c r="A71" s="64" t="s">
        <v>3300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17"/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285303603</v>
      </c>
      <c r="C77" s="73">
        <f t="shared" ref="C77:F77" si="18">C43+C9</f>
        <v>203520529.97999999</v>
      </c>
      <c r="D77" s="73">
        <f t="shared" si="18"/>
        <v>488824132.97999996</v>
      </c>
      <c r="E77" s="73">
        <f t="shared" si="18"/>
        <v>371990921.88999999</v>
      </c>
      <c r="F77" s="73">
        <f t="shared" si="18"/>
        <v>349579503.56000006</v>
      </c>
      <c r="G77" s="73">
        <f>G43+G9</f>
        <v>116833211.08999997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113994962</v>
      </c>
      <c r="Q2" s="18">
        <f>'Formato 6 c)'!C9</f>
        <v>70380286.659999996</v>
      </c>
      <c r="R2" s="18">
        <f>'Formato 6 c)'!D9</f>
        <v>184375248.65999997</v>
      </c>
      <c r="S2" s="18">
        <f>'Formato 6 c)'!E9</f>
        <v>154729062.47</v>
      </c>
      <c r="T2" s="18">
        <f>'Formato 6 c)'!F9</f>
        <v>152039958.75000003</v>
      </c>
      <c r="U2" s="18">
        <f>'Formato 6 c)'!G9</f>
        <v>29646186.190000001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52633862.149999999</v>
      </c>
      <c r="Q3" s="18">
        <f>'Formato 6 c)'!C10</f>
        <v>20615058.730000004</v>
      </c>
      <c r="R3" s="18">
        <f>'Formato 6 c)'!D10</f>
        <v>73248920.879999995</v>
      </c>
      <c r="S3" s="18">
        <f>'Formato 6 c)'!E10</f>
        <v>62431185.109999999</v>
      </c>
      <c r="T3" s="18">
        <f>'Formato 6 c)'!F10</f>
        <v>61938785.619999997</v>
      </c>
      <c r="U3" s="18">
        <f>'Formato 6 c)'!G10</f>
        <v>10817735.77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497958.97</v>
      </c>
      <c r="Q5" s="18">
        <f>'Formato 6 c)'!C12</f>
        <v>16387.580000000002</v>
      </c>
      <c r="R5" s="18">
        <f>'Formato 6 c)'!D12</f>
        <v>514346.55</v>
      </c>
      <c r="S5" s="18">
        <f>'Formato 6 c)'!E12</f>
        <v>496060.84</v>
      </c>
      <c r="T5" s="18">
        <f>'Formato 6 c)'!F12</f>
        <v>484414.92</v>
      </c>
      <c r="U5" s="18">
        <f>'Formato 6 c)'!G12</f>
        <v>18285.709999999963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28509156.670000002</v>
      </c>
      <c r="Q6" s="18">
        <f>'Formato 6 c)'!C13</f>
        <v>3768298.31</v>
      </c>
      <c r="R6" s="18">
        <f>'Formato 6 c)'!D13</f>
        <v>32277454.98</v>
      </c>
      <c r="S6" s="18">
        <f>'Formato 6 c)'!E13</f>
        <v>26599563.289999999</v>
      </c>
      <c r="T6" s="18">
        <f>'Formato 6 c)'!F13</f>
        <v>26303738.329999998</v>
      </c>
      <c r="U6" s="18">
        <f>'Formato 6 c)'!G13</f>
        <v>5677891.6900000013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19789144.149999999</v>
      </c>
      <c r="Q8" s="18">
        <f>'Formato 6 c)'!C15</f>
        <v>3893130.41</v>
      </c>
      <c r="R8" s="18">
        <f>'Formato 6 c)'!D15</f>
        <v>23682274.559999999</v>
      </c>
      <c r="S8" s="18">
        <f>'Formato 6 c)'!E15</f>
        <v>21806976.07</v>
      </c>
      <c r="T8" s="18">
        <f>'Formato 6 c)'!F15</f>
        <v>21685429.530000001</v>
      </c>
      <c r="U8" s="18">
        <f>'Formato 6 c)'!G15</f>
        <v>1875298.4899999984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12657396.720000001</v>
      </c>
      <c r="R10" s="18">
        <f>'Formato 6 c)'!D17</f>
        <v>12657396.720000001</v>
      </c>
      <c r="S10" s="18">
        <f>'Formato 6 c)'!E17</f>
        <v>9818837.0399999991</v>
      </c>
      <c r="T10" s="18">
        <f>'Formato 6 c)'!F17</f>
        <v>9818837.0399999991</v>
      </c>
      <c r="U10" s="18">
        <f>'Formato 6 c)'!G17</f>
        <v>2838559.6800000016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3837602.36</v>
      </c>
      <c r="Q11" s="18">
        <f>'Formato 6 c)'!C18</f>
        <v>279845.71000000002</v>
      </c>
      <c r="R11" s="18">
        <f>'Formato 6 c)'!D18</f>
        <v>4117448.07</v>
      </c>
      <c r="S11" s="18">
        <f>'Formato 6 c)'!E18</f>
        <v>3709747.87</v>
      </c>
      <c r="T11" s="18">
        <f>'Formato 6 c)'!F18</f>
        <v>3646365.8</v>
      </c>
      <c r="U11" s="18">
        <f>'Formato 6 c)'!G18</f>
        <v>407700.19999999972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56030789.660000004</v>
      </c>
      <c r="Q12" s="18">
        <f>'Formato 6 c)'!C19</f>
        <v>49252864.989999995</v>
      </c>
      <c r="R12" s="18">
        <f>'Formato 6 c)'!D19</f>
        <v>105283654.64999999</v>
      </c>
      <c r="S12" s="18">
        <f>'Formato 6 c)'!E19</f>
        <v>87045419.799999997</v>
      </c>
      <c r="T12" s="18">
        <f>'Formato 6 c)'!F19</f>
        <v>84941155.300000012</v>
      </c>
      <c r="U12" s="18">
        <f>'Formato 6 c)'!G19</f>
        <v>18238234.850000001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12093523.75</v>
      </c>
      <c r="Q13" s="18">
        <f>'Formato 6 c)'!C20</f>
        <v>744806.73</v>
      </c>
      <c r="R13" s="18">
        <f>'Formato 6 c)'!D20</f>
        <v>12838330.48</v>
      </c>
      <c r="S13" s="18">
        <f>'Formato 6 c)'!E20</f>
        <v>11884044.41</v>
      </c>
      <c r="T13" s="18">
        <f>'Formato 6 c)'!F20</f>
        <v>11617602.23</v>
      </c>
      <c r="U13" s="18">
        <f>'Formato 6 c)'!G20</f>
        <v>954286.0700000003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31874895.699999999</v>
      </c>
      <c r="Q14" s="18">
        <f>'Formato 6 c)'!C21</f>
        <v>47502960.43</v>
      </c>
      <c r="R14" s="18">
        <f>'Formato 6 c)'!D21</f>
        <v>79377856.129999995</v>
      </c>
      <c r="S14" s="18">
        <f>'Formato 6 c)'!E21</f>
        <v>63082457.469999999</v>
      </c>
      <c r="T14" s="18">
        <f>'Formato 6 c)'!F21</f>
        <v>61466355.5</v>
      </c>
      <c r="U14" s="18">
        <f>'Formato 6 c)'!G21</f>
        <v>16295398.659999996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8369580.3300000001</v>
      </c>
      <c r="Q16" s="18">
        <f>'Formato 6 c)'!C23</f>
        <v>824104.05</v>
      </c>
      <c r="R16" s="18">
        <f>'Formato 6 c)'!D23</f>
        <v>9193684.3800000008</v>
      </c>
      <c r="S16" s="18">
        <f>'Formato 6 c)'!E23</f>
        <v>8550895.6099999994</v>
      </c>
      <c r="T16" s="18">
        <f>'Formato 6 c)'!F23</f>
        <v>8401325.8699999992</v>
      </c>
      <c r="U16" s="18">
        <f>'Formato 6 c)'!G23</f>
        <v>642788.77000000142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3692789.88</v>
      </c>
      <c r="Q17" s="18">
        <f>'Formato 6 c)'!C24</f>
        <v>180993.78</v>
      </c>
      <c r="R17" s="18">
        <f>'Formato 6 c)'!D24</f>
        <v>3873783.6599999997</v>
      </c>
      <c r="S17" s="18">
        <f>'Formato 6 c)'!E24</f>
        <v>3528022.31</v>
      </c>
      <c r="T17" s="18">
        <f>'Formato 6 c)'!F24</f>
        <v>3455871.7</v>
      </c>
      <c r="U17" s="18">
        <f>'Formato 6 c)'!G24</f>
        <v>345761.34999999963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5330310.1900000004</v>
      </c>
      <c r="Q20" s="18">
        <f>'Formato 6 c)'!C27</f>
        <v>512362.94</v>
      </c>
      <c r="R20" s="18">
        <f>'Formato 6 c)'!D27</f>
        <v>5842673.1300000008</v>
      </c>
      <c r="S20" s="18">
        <f>'Formato 6 c)'!E27</f>
        <v>5252457.5599999996</v>
      </c>
      <c r="T20" s="18">
        <f>'Formato 6 c)'!F27</f>
        <v>5160017.83</v>
      </c>
      <c r="U20" s="18">
        <f>'Formato 6 c)'!G27</f>
        <v>590215.57000000123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5330310.1900000004</v>
      </c>
      <c r="Q21" s="18">
        <f>'Formato 6 c)'!C28</f>
        <v>502618.94</v>
      </c>
      <c r="R21" s="18">
        <f>'Formato 6 c)'!D28</f>
        <v>5832929.1300000008</v>
      </c>
      <c r="S21" s="18">
        <f>'Formato 6 c)'!E28</f>
        <v>5251141.5599999996</v>
      </c>
      <c r="T21" s="18">
        <f>'Formato 6 c)'!F28</f>
        <v>5158701.83</v>
      </c>
      <c r="U21" s="18">
        <f>'Formato 6 c)'!G28</f>
        <v>581787.57000000123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9744</v>
      </c>
      <c r="R23" s="18">
        <f>'Formato 6 c)'!D30</f>
        <v>9744</v>
      </c>
      <c r="S23" s="18">
        <f>'Formato 6 c)'!E30</f>
        <v>1316</v>
      </c>
      <c r="T23" s="18">
        <f>'Formato 6 c)'!F30</f>
        <v>1316</v>
      </c>
      <c r="U23" s="18">
        <f>'Formato 6 c)'!G30</f>
        <v>8428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171308641</v>
      </c>
      <c r="Q35" s="18">
        <f>'Formato 6 c)'!C43</f>
        <v>133140243.31999999</v>
      </c>
      <c r="R35" s="18">
        <f>'Formato 6 c)'!D43</f>
        <v>304448884.31999999</v>
      </c>
      <c r="S35" s="18">
        <f>'Formato 6 c)'!E43</f>
        <v>217261859.42000002</v>
      </c>
      <c r="T35" s="18">
        <f>'Formato 6 c)'!F43</f>
        <v>197539544.81</v>
      </c>
      <c r="U35" s="18">
        <f>'Formato 6 c)'!G43</f>
        <v>87187024.899999976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45232102</v>
      </c>
      <c r="Q36" s="18">
        <f>'Formato 6 c)'!C44</f>
        <v>1161801.22</v>
      </c>
      <c r="R36" s="18">
        <f>'Formato 6 c)'!D44</f>
        <v>46393903.219999999</v>
      </c>
      <c r="S36" s="18">
        <f>'Formato 6 c)'!E44</f>
        <v>44867947.75</v>
      </c>
      <c r="T36" s="18">
        <f>'Formato 6 c)'!F44</f>
        <v>44138875.170000002</v>
      </c>
      <c r="U36" s="18">
        <f>'Formato 6 c)'!G44</f>
        <v>1525955.4699999986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2934012.67</v>
      </c>
      <c r="Q39" s="18">
        <f>'Formato 6 c)'!C47</f>
        <v>0</v>
      </c>
      <c r="R39" s="18">
        <f>'Formato 6 c)'!D47</f>
        <v>2934012.67</v>
      </c>
      <c r="S39" s="18">
        <f>'Formato 6 c)'!E47</f>
        <v>2906512.68</v>
      </c>
      <c r="T39" s="18">
        <f>'Formato 6 c)'!F47</f>
        <v>2906512.68</v>
      </c>
      <c r="U39" s="18">
        <f>'Formato 6 c)'!G47</f>
        <v>27499.989999999758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330</v>
      </c>
      <c r="Q41" s="18">
        <f>'Formato 6 c)'!C49</f>
        <v>313400</v>
      </c>
      <c r="R41" s="18">
        <f>'Formato 6 c)'!D49</f>
        <v>313730</v>
      </c>
      <c r="S41" s="18">
        <f>'Formato 6 c)'!E49</f>
        <v>285172.24</v>
      </c>
      <c r="T41" s="18">
        <f>'Formato 6 c)'!F49</f>
        <v>284963.14</v>
      </c>
      <c r="U41" s="18">
        <f>'Formato 6 c)'!G49</f>
        <v>28557.760000000009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42297759.329999998</v>
      </c>
      <c r="Q43" s="18">
        <f>'Formato 6 c)'!C51</f>
        <v>848401.22</v>
      </c>
      <c r="R43" s="18">
        <f>'Formato 6 c)'!D51</f>
        <v>43146160.549999997</v>
      </c>
      <c r="S43" s="18">
        <f>'Formato 6 c)'!E51</f>
        <v>41676262.829999998</v>
      </c>
      <c r="T43" s="18">
        <f>'Formato 6 c)'!F51</f>
        <v>40947399.350000001</v>
      </c>
      <c r="U43" s="18">
        <f>'Formato 6 c)'!G51</f>
        <v>1469897.7199999988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126076539</v>
      </c>
      <c r="Q45" s="18">
        <f>'Formato 6 c)'!C53</f>
        <v>131835812.09999999</v>
      </c>
      <c r="R45" s="18">
        <f>'Formato 6 c)'!D53</f>
        <v>257912351.09999999</v>
      </c>
      <c r="S45" s="18">
        <f>'Formato 6 c)'!E53</f>
        <v>172251301.67000002</v>
      </c>
      <c r="T45" s="18">
        <f>'Formato 6 c)'!F53</f>
        <v>153258059.63999999</v>
      </c>
      <c r="U45" s="18">
        <f>'Formato 6 c)'!G53</f>
        <v>85661049.429999977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3432836.96</v>
      </c>
      <c r="R46" s="18">
        <f>'Formato 6 c)'!D54</f>
        <v>3432836.96</v>
      </c>
      <c r="S46" s="18">
        <f>'Formato 6 c)'!E54</f>
        <v>3432836.96</v>
      </c>
      <c r="T46" s="18">
        <f>'Formato 6 c)'!F54</f>
        <v>3432836.96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124929939</v>
      </c>
      <c r="Q47" s="18">
        <f>'Formato 6 c)'!C55</f>
        <v>128405975.14</v>
      </c>
      <c r="R47" s="18">
        <f>'Formato 6 c)'!D55</f>
        <v>253335914.13999999</v>
      </c>
      <c r="S47" s="18">
        <f>'Formato 6 c)'!E55</f>
        <v>167674864.71000001</v>
      </c>
      <c r="T47" s="18">
        <f>'Formato 6 c)'!F55</f>
        <v>148681622.67999998</v>
      </c>
      <c r="U47" s="18">
        <f>'Formato 6 c)'!G55</f>
        <v>85661049.429999977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1146600</v>
      </c>
      <c r="Q50" s="18">
        <f>'Formato 6 c)'!C58</f>
        <v>-3000</v>
      </c>
      <c r="R50" s="18">
        <f>'Formato 6 c)'!D58</f>
        <v>1143600</v>
      </c>
      <c r="S50" s="18">
        <f>'Formato 6 c)'!E58</f>
        <v>1143600</v>
      </c>
      <c r="T50" s="18">
        <f>'Formato 6 c)'!F58</f>
        <v>1143600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142630</v>
      </c>
      <c r="R53" s="18">
        <f>'Formato 6 c)'!D61</f>
        <v>142630</v>
      </c>
      <c r="S53" s="18">
        <f>'Formato 6 c)'!E61</f>
        <v>142610</v>
      </c>
      <c r="T53" s="18">
        <f>'Formato 6 c)'!F61</f>
        <v>142610</v>
      </c>
      <c r="U53" s="18">
        <f>'Formato 6 c)'!G61</f>
        <v>20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142630</v>
      </c>
      <c r="R54" s="18">
        <f>'Formato 6 c)'!D62</f>
        <v>142630</v>
      </c>
      <c r="S54" s="18">
        <f>'Formato 6 c)'!E62</f>
        <v>142610</v>
      </c>
      <c r="T54" s="18">
        <f>'Formato 6 c)'!F62</f>
        <v>142610</v>
      </c>
      <c r="U54" s="18">
        <f>'Formato 6 c)'!G62</f>
        <v>20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285303603</v>
      </c>
      <c r="Q68" s="18">
        <f>'Formato 6 c)'!C77</f>
        <v>203520529.97999999</v>
      </c>
      <c r="R68" s="18">
        <f>'Formato 6 c)'!D77</f>
        <v>488824132.97999996</v>
      </c>
      <c r="S68" s="18">
        <f>'Formato 6 c)'!E77</f>
        <v>371990921.88999999</v>
      </c>
      <c r="T68" s="18">
        <f>'Formato 6 c)'!F77</f>
        <v>349579503.56000006</v>
      </c>
      <c r="U68" s="18">
        <f>'Formato 6 c)'!G77</f>
        <v>116833211.08999997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ORGANISMO, Gobierno del Estado de Guanajuato</v>
      </c>
    </row>
    <row r="7" spans="2:3" ht="14.25" x14ac:dyDescent="0.45">
      <c r="C7" t="str">
        <f>CONCATENATE(ENTE_PUBLICO," (a)")</f>
        <v>ORGANISMO,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1156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 Felipe, Gobierno del Estado de Guanajuato</v>
      </c>
    </row>
    <row r="12" spans="2:3" x14ac:dyDescent="0.25">
      <c r="B12" t="s">
        <v>794</v>
      </c>
      <c r="C12" s="24">
        <v>2017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4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2017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2017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2017 (m = g – l)</v>
      </c>
    </row>
    <row r="20" spans="4:9" ht="57" x14ac:dyDescent="0.45">
      <c r="D20" s="21" t="str">
        <f>CONCATENATE(ANIO_INFORME, " (d)")</f>
        <v>2017 (d)</v>
      </c>
      <c r="E20" s="22" t="str">
        <f>CONCATENATE("31 de diciembre de ",ANIO_INFORME-1, " (e)")</f>
        <v>31 de diciembre de 2016 (e)</v>
      </c>
      <c r="F20" s="31" t="str">
        <f>CONCATENATE("Saldo al 31 de diciembre de ",ANIO_INFORME-1, " (d)")</f>
        <v>Saldo al 31 de diciembre de 2016 (d)</v>
      </c>
    </row>
    <row r="23" spans="4:9" ht="14.25" x14ac:dyDescent="0.45">
      <c r="D23" s="33">
        <f>ANIO_INFORME + 1</f>
        <v>2018</v>
      </c>
      <c r="E23" s="34" t="str">
        <f>CONCATENATE(ANIO_INFORME + 2, " (d)")</f>
        <v>2019 (d)</v>
      </c>
      <c r="F23" s="34" t="str">
        <f>CONCATENATE(ANIO_INFORME + 3, " (d)")</f>
        <v>2020 (d)</v>
      </c>
      <c r="G23" s="34" t="str">
        <f>CONCATENATE(ANIO_INFORME + 4, " (d)")</f>
        <v>2021 (d)</v>
      </c>
      <c r="H23" s="34" t="str">
        <f>CONCATENATE(ANIO_INFORME + 5, " (d)")</f>
        <v>2022 (d)</v>
      </c>
      <c r="I23" s="34" t="str">
        <f>CONCATENATE(ANIO_INFORME + 6, " (d)")</f>
        <v>2023 (d)</v>
      </c>
    </row>
    <row r="25" spans="4:9" x14ac:dyDescent="0.25">
      <c r="D25" s="35" t="str">
        <f>CONCATENATE(ANIO_INFORME - 5, " ",CHAR(185)," (c)")</f>
        <v>2012 ¹ (c)</v>
      </c>
      <c r="E25" s="35" t="str">
        <f>CONCATENATE(ANIO_INFORME - 4, " ",CHAR(185)," (c)")</f>
        <v>2013 ¹ (c)</v>
      </c>
      <c r="F25" s="35" t="str">
        <f>CONCATENATE(ANIO_INFORME - 3, " ",CHAR(185)," (c)")</f>
        <v>2014 ¹ (c)</v>
      </c>
      <c r="G25" s="35" t="str">
        <f>CONCATENATE(ANIO_INFORME - 2, " ",CHAR(185)," (c)")</f>
        <v>2015 ¹ (c)</v>
      </c>
      <c r="H25" s="35" t="str">
        <f>CONCATENATE(ANIO_INFORME - 1, " ",CHAR(185)," (c)")</f>
        <v>2016 ¹ (c)</v>
      </c>
      <c r="I25" s="33">
        <f>ANIO_INFORME</f>
        <v>2017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x14ac:dyDescent="0.25">
      <c r="D30" s="139">
        <v>-1.7976931348623099E+100</v>
      </c>
      <c r="E30" s="139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81" zoomScaleNormal="81" workbookViewId="0">
      <selection activeCell="E33" sqref="E33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7" t="s">
        <v>3288</v>
      </c>
      <c r="B1" s="176"/>
      <c r="C1" s="176"/>
      <c r="D1" s="176"/>
      <c r="E1" s="176"/>
      <c r="F1" s="176"/>
      <c r="G1" s="176"/>
    </row>
    <row r="2" spans="1:7" ht="14.25" x14ac:dyDescent="0.45">
      <c r="A2" s="158" t="str">
        <f>ENTE_PUBLICO_A</f>
        <v>ORGANISMO, Gobierno del Estado de Guanajuato (a)</v>
      </c>
      <c r="B2" s="159"/>
      <c r="C2" s="159"/>
      <c r="D2" s="159"/>
      <c r="E2" s="159"/>
      <c r="F2" s="159"/>
      <c r="G2" s="160"/>
    </row>
    <row r="3" spans="1:7" x14ac:dyDescent="0.25">
      <c r="A3" s="164" t="s">
        <v>277</v>
      </c>
      <c r="B3" s="165"/>
      <c r="C3" s="165"/>
      <c r="D3" s="165"/>
      <c r="E3" s="165"/>
      <c r="F3" s="165"/>
      <c r="G3" s="166"/>
    </row>
    <row r="4" spans="1:7" x14ac:dyDescent="0.25">
      <c r="A4" s="164" t="s">
        <v>399</v>
      </c>
      <c r="B4" s="165"/>
      <c r="C4" s="165"/>
      <c r="D4" s="165"/>
      <c r="E4" s="165"/>
      <c r="F4" s="165"/>
      <c r="G4" s="166"/>
    </row>
    <row r="5" spans="1:7" ht="14.25" x14ac:dyDescent="0.45">
      <c r="A5" s="164" t="str">
        <f>TRIMESTRE</f>
        <v>Del 1 de enero al 31 de diciembre de 2017 (b)</v>
      </c>
      <c r="B5" s="165"/>
      <c r="C5" s="165"/>
      <c r="D5" s="165"/>
      <c r="E5" s="165"/>
      <c r="F5" s="165"/>
      <c r="G5" s="166"/>
    </row>
    <row r="6" spans="1:7" ht="14.25" x14ac:dyDescent="0.45">
      <c r="A6" s="167" t="s">
        <v>118</v>
      </c>
      <c r="B6" s="168"/>
      <c r="C6" s="168"/>
      <c r="D6" s="168"/>
      <c r="E6" s="168"/>
      <c r="F6" s="168"/>
      <c r="G6" s="169"/>
    </row>
    <row r="7" spans="1:7" x14ac:dyDescent="0.25">
      <c r="A7" s="173" t="s">
        <v>361</v>
      </c>
      <c r="B7" s="178" t="s">
        <v>279</v>
      </c>
      <c r="C7" s="178"/>
      <c r="D7" s="178"/>
      <c r="E7" s="178"/>
      <c r="F7" s="178"/>
      <c r="G7" s="178" t="s">
        <v>280</v>
      </c>
    </row>
    <row r="8" spans="1:7" ht="29.25" customHeight="1" x14ac:dyDescent="0.25">
      <c r="A8" s="174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5"/>
    </row>
    <row r="9" spans="1:7" ht="14.25" x14ac:dyDescent="0.45">
      <c r="A9" s="52" t="s">
        <v>400</v>
      </c>
      <c r="B9" s="66">
        <f>SUM(B10,B11,B12,B15,B16,B19)</f>
        <v>78606976.540000007</v>
      </c>
      <c r="C9" s="66">
        <f t="shared" ref="C9:F9" si="0">SUM(C10,C11,C12,C15,C16,C19)</f>
        <v>221225.11</v>
      </c>
      <c r="D9" s="66">
        <f t="shared" si="0"/>
        <v>78828201.650000006</v>
      </c>
      <c r="E9" s="66">
        <f t="shared" si="0"/>
        <v>72325472.420000002</v>
      </c>
      <c r="F9" s="66">
        <f t="shared" si="0"/>
        <v>70977935.129999995</v>
      </c>
      <c r="G9" s="66">
        <f>SUM(G10,G11,G12,G15,G16,G19)</f>
        <v>6502729.2300000042</v>
      </c>
    </row>
    <row r="10" spans="1:7" x14ac:dyDescent="0.25">
      <c r="A10" s="53" t="s">
        <v>401</v>
      </c>
      <c r="B10" s="67">
        <v>78606976.540000007</v>
      </c>
      <c r="C10" s="67">
        <v>221225.11</v>
      </c>
      <c r="D10" s="67">
        <v>78828201.650000006</v>
      </c>
      <c r="E10" s="67">
        <v>72325472.420000002</v>
      </c>
      <c r="F10" s="67">
        <v>70977935.129999995</v>
      </c>
      <c r="G10" s="67">
        <f>D10-E10</f>
        <v>6502729.2300000042</v>
      </c>
    </row>
    <row r="11" spans="1:7" x14ac:dyDescent="0.2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33742839.899999999</v>
      </c>
      <c r="C21" s="66">
        <f t="shared" ref="C21:F21" si="4">SUM(C22,C23,C24,C27,C28,C31)</f>
        <v>-1534291.83</v>
      </c>
      <c r="D21" s="66">
        <f t="shared" si="4"/>
        <v>32208548.07</v>
      </c>
      <c r="E21" s="66">
        <f t="shared" si="4"/>
        <v>31327084.609999999</v>
      </c>
      <c r="F21" s="66">
        <f t="shared" si="4"/>
        <v>30671706.670000002</v>
      </c>
      <c r="G21" s="66">
        <f>SUM(G22,G23,G24,G27,G28,G31)</f>
        <v>881463.46000000089</v>
      </c>
    </row>
    <row r="22" spans="1:7" s="24" customFormat="1" x14ac:dyDescent="0.25">
      <c r="A22" s="53" t="s">
        <v>401</v>
      </c>
      <c r="B22" s="67">
        <v>33742839.899999999</v>
      </c>
      <c r="C22" s="67">
        <v>-1534291.83</v>
      </c>
      <c r="D22" s="67">
        <v>32208548.07</v>
      </c>
      <c r="E22" s="67">
        <v>31327084.609999999</v>
      </c>
      <c r="F22" s="67">
        <v>30671706.670000002</v>
      </c>
      <c r="G22" s="67">
        <f>D22-E22</f>
        <v>881463.46000000089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112349816.44</v>
      </c>
      <c r="C33" s="66">
        <f t="shared" ref="C33:G33" si="9">C21+C9</f>
        <v>-1313066.7200000002</v>
      </c>
      <c r="D33" s="66">
        <f t="shared" si="9"/>
        <v>111036749.72</v>
      </c>
      <c r="E33" s="66">
        <f t="shared" si="9"/>
        <v>103652557.03</v>
      </c>
      <c r="F33" s="66">
        <f t="shared" si="9"/>
        <v>101649641.8</v>
      </c>
      <c r="G33" s="66">
        <f t="shared" si="9"/>
        <v>7384192.6900000051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78606976.540000007</v>
      </c>
      <c r="Q2" s="18">
        <f>'Formato 6 d)'!C9</f>
        <v>221225.11</v>
      </c>
      <c r="R2" s="18">
        <f>'Formato 6 d)'!D9</f>
        <v>78828201.650000006</v>
      </c>
      <c r="S2" s="18">
        <f>'Formato 6 d)'!E9</f>
        <v>72325472.420000002</v>
      </c>
      <c r="T2" s="18">
        <f>'Formato 6 d)'!F9</f>
        <v>70977935.129999995</v>
      </c>
      <c r="U2" s="18">
        <f>'Formato 6 d)'!G9</f>
        <v>6502729.2300000042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78606976.540000007</v>
      </c>
      <c r="Q3" s="18">
        <f>'Formato 6 d)'!C10</f>
        <v>221225.11</v>
      </c>
      <c r="R3" s="18">
        <f>'Formato 6 d)'!D10</f>
        <v>78828201.650000006</v>
      </c>
      <c r="S3" s="18">
        <f>'Formato 6 d)'!E10</f>
        <v>72325472.420000002</v>
      </c>
      <c r="T3" s="18">
        <f>'Formato 6 d)'!F10</f>
        <v>70977935.129999995</v>
      </c>
      <c r="U3" s="18">
        <f>'Formato 6 d)'!G10</f>
        <v>6502729.2300000042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33742839.899999999</v>
      </c>
      <c r="Q13" s="18">
        <f>'Formato 6 d)'!C21</f>
        <v>-1534291.83</v>
      </c>
      <c r="R13" s="18">
        <f>'Formato 6 d)'!D21</f>
        <v>32208548.07</v>
      </c>
      <c r="S13" s="18">
        <f>'Formato 6 d)'!E21</f>
        <v>31327084.609999999</v>
      </c>
      <c r="T13" s="18">
        <f>'Formato 6 d)'!F21</f>
        <v>30671706.670000002</v>
      </c>
      <c r="U13" s="18">
        <f>'Formato 6 d)'!G21</f>
        <v>881463.46000000089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33742839.899999999</v>
      </c>
      <c r="Q14" s="18">
        <f>'Formato 6 d)'!C22</f>
        <v>-1534291.83</v>
      </c>
      <c r="R14" s="18">
        <f>'Formato 6 d)'!D22</f>
        <v>32208548.07</v>
      </c>
      <c r="S14" s="18">
        <f>'Formato 6 d)'!E22</f>
        <v>31327084.609999999</v>
      </c>
      <c r="T14" s="18">
        <f>'Formato 6 d)'!F22</f>
        <v>30671706.670000002</v>
      </c>
      <c r="U14" s="18">
        <f>'Formato 6 d)'!G22</f>
        <v>881463.46000000089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112349816.44</v>
      </c>
      <c r="Q24" s="18">
        <f>'Formato 6 d)'!C33</f>
        <v>-1313066.7200000002</v>
      </c>
      <c r="R24" s="18">
        <f>'Formato 6 d)'!D33</f>
        <v>111036749.72</v>
      </c>
      <c r="S24" s="18">
        <f>'Formato 6 d)'!E33</f>
        <v>103652557.03</v>
      </c>
      <c r="T24" s="18">
        <f>'Formato 6 d)'!F33</f>
        <v>101649641.8</v>
      </c>
      <c r="U24" s="18">
        <f>'Formato 6 d)'!G33</f>
        <v>7384192.6900000051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E14" sqref="E14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6" t="s">
        <v>413</v>
      </c>
      <c r="B1" s="176"/>
      <c r="C1" s="176"/>
      <c r="D1" s="176"/>
      <c r="E1" s="176"/>
      <c r="F1" s="176"/>
      <c r="G1" s="176"/>
    </row>
    <row r="2" spans="1:7" ht="14.25" x14ac:dyDescent="0.45">
      <c r="A2" s="158" t="str">
        <f>ENTIDAD</f>
        <v>Municipio de San Felipe, Gobierno del Estado de Guanajuato</v>
      </c>
      <c r="B2" s="159"/>
      <c r="C2" s="159"/>
      <c r="D2" s="159"/>
      <c r="E2" s="159"/>
      <c r="F2" s="159"/>
      <c r="G2" s="160"/>
    </row>
    <row r="3" spans="1:7" ht="14.25" x14ac:dyDescent="0.45">
      <c r="A3" s="161" t="s">
        <v>414</v>
      </c>
      <c r="B3" s="162"/>
      <c r="C3" s="162"/>
      <c r="D3" s="162"/>
      <c r="E3" s="162"/>
      <c r="F3" s="162"/>
      <c r="G3" s="163"/>
    </row>
    <row r="4" spans="1:7" ht="14.25" x14ac:dyDescent="0.45">
      <c r="A4" s="161" t="s">
        <v>118</v>
      </c>
      <c r="B4" s="162"/>
      <c r="C4" s="162"/>
      <c r="D4" s="162"/>
      <c r="E4" s="162"/>
      <c r="F4" s="162"/>
      <c r="G4" s="163"/>
    </row>
    <row r="5" spans="1:7" ht="14.25" x14ac:dyDescent="0.45">
      <c r="A5" s="161" t="s">
        <v>415</v>
      </c>
      <c r="B5" s="162"/>
      <c r="C5" s="162"/>
      <c r="D5" s="162"/>
      <c r="E5" s="162"/>
      <c r="F5" s="162"/>
      <c r="G5" s="163"/>
    </row>
    <row r="6" spans="1:7" x14ac:dyDescent="0.25">
      <c r="A6" s="173" t="s">
        <v>3289</v>
      </c>
      <c r="B6" s="51">
        <f>ANIO1P</f>
        <v>2018</v>
      </c>
      <c r="C6" s="186" t="str">
        <f>ANIO2P</f>
        <v>2019 (d)</v>
      </c>
      <c r="D6" s="186" t="str">
        <f>ANIO3P</f>
        <v>2020 (d)</v>
      </c>
      <c r="E6" s="186" t="str">
        <f>ANIO4P</f>
        <v>2021 (d)</v>
      </c>
      <c r="F6" s="186" t="str">
        <f>ANIO5P</f>
        <v>2022 (d)</v>
      </c>
      <c r="G6" s="186" t="str">
        <f>ANIO6P</f>
        <v>2023 (d)</v>
      </c>
    </row>
    <row r="7" spans="1:7" ht="48" customHeight="1" x14ac:dyDescent="0.25">
      <c r="A7" s="174"/>
      <c r="B7" s="88" t="s">
        <v>3292</v>
      </c>
      <c r="C7" s="187"/>
      <c r="D7" s="187"/>
      <c r="E7" s="187"/>
      <c r="F7" s="187"/>
      <c r="G7" s="187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x14ac:dyDescent="0.2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E14" sqref="E14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6" t="s">
        <v>451</v>
      </c>
      <c r="B1" s="176"/>
      <c r="C1" s="176"/>
      <c r="D1" s="176"/>
      <c r="E1" s="176"/>
      <c r="F1" s="176"/>
      <c r="G1" s="176"/>
    </row>
    <row r="2" spans="1:7" customFormat="1" ht="14.25" x14ac:dyDescent="0.45">
      <c r="A2" s="158" t="str">
        <f>ENTIDAD</f>
        <v>Municipio de San Felipe, Gobierno del Estado de Guanajuato</v>
      </c>
      <c r="B2" s="159"/>
      <c r="C2" s="159"/>
      <c r="D2" s="159"/>
      <c r="E2" s="159"/>
      <c r="F2" s="159"/>
      <c r="G2" s="160"/>
    </row>
    <row r="3" spans="1:7" customFormat="1" ht="14.25" x14ac:dyDescent="0.45">
      <c r="A3" s="161" t="s">
        <v>452</v>
      </c>
      <c r="B3" s="162"/>
      <c r="C3" s="162"/>
      <c r="D3" s="162"/>
      <c r="E3" s="162"/>
      <c r="F3" s="162"/>
      <c r="G3" s="163"/>
    </row>
    <row r="4" spans="1:7" customFormat="1" ht="14.25" x14ac:dyDescent="0.45">
      <c r="A4" s="161" t="s">
        <v>118</v>
      </c>
      <c r="B4" s="162"/>
      <c r="C4" s="162"/>
      <c r="D4" s="162"/>
      <c r="E4" s="162"/>
      <c r="F4" s="162"/>
      <c r="G4" s="163"/>
    </row>
    <row r="5" spans="1:7" customFormat="1" ht="14.25" x14ac:dyDescent="0.45">
      <c r="A5" s="161" t="s">
        <v>415</v>
      </c>
      <c r="B5" s="162"/>
      <c r="C5" s="162"/>
      <c r="D5" s="162"/>
      <c r="E5" s="162"/>
      <c r="F5" s="162"/>
      <c r="G5" s="163"/>
    </row>
    <row r="6" spans="1:7" customFormat="1" x14ac:dyDescent="0.25">
      <c r="A6" s="188" t="s">
        <v>3142</v>
      </c>
      <c r="B6" s="51">
        <f>ANIO1P</f>
        <v>2018</v>
      </c>
      <c r="C6" s="186" t="str">
        <f>ANIO2P</f>
        <v>2019 (d)</v>
      </c>
      <c r="D6" s="186" t="str">
        <f>ANIO3P</f>
        <v>2020 (d)</v>
      </c>
      <c r="E6" s="186" t="str">
        <f>ANIO4P</f>
        <v>2021 (d)</v>
      </c>
      <c r="F6" s="186" t="str">
        <f>ANIO5P</f>
        <v>2022 (d)</v>
      </c>
      <c r="G6" s="186" t="str">
        <f>ANIO6P</f>
        <v>2023 (d)</v>
      </c>
    </row>
    <row r="7" spans="1:7" customFormat="1" ht="48" customHeight="1" x14ac:dyDescent="0.25">
      <c r="A7" s="189"/>
      <c r="B7" s="88" t="s">
        <v>3292</v>
      </c>
      <c r="C7" s="187"/>
      <c r="D7" s="187"/>
      <c r="E7" s="187"/>
      <c r="F7" s="187"/>
      <c r="G7" s="187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E14" sqref="E14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6" t="s">
        <v>466</v>
      </c>
      <c r="B1" s="176"/>
      <c r="C1" s="176"/>
      <c r="D1" s="176"/>
      <c r="E1" s="176"/>
      <c r="F1" s="176"/>
      <c r="G1" s="176"/>
    </row>
    <row r="2" spans="1:7" ht="14.25" x14ac:dyDescent="0.45">
      <c r="A2" s="158" t="str">
        <f>ENTIDAD</f>
        <v>Municipio de San Felipe, Gobierno del Estado de Guanajuato</v>
      </c>
      <c r="B2" s="159"/>
      <c r="C2" s="159"/>
      <c r="D2" s="159"/>
      <c r="E2" s="159"/>
      <c r="F2" s="159"/>
      <c r="G2" s="160"/>
    </row>
    <row r="3" spans="1:7" ht="14.25" x14ac:dyDescent="0.45">
      <c r="A3" s="161" t="s">
        <v>467</v>
      </c>
      <c r="B3" s="162"/>
      <c r="C3" s="162"/>
      <c r="D3" s="162"/>
      <c r="E3" s="162"/>
      <c r="F3" s="162"/>
      <c r="G3" s="163"/>
    </row>
    <row r="4" spans="1:7" ht="14.25" x14ac:dyDescent="0.45">
      <c r="A4" s="167" t="s">
        <v>118</v>
      </c>
      <c r="B4" s="168"/>
      <c r="C4" s="168"/>
      <c r="D4" s="168"/>
      <c r="E4" s="168"/>
      <c r="F4" s="168"/>
      <c r="G4" s="169"/>
    </row>
    <row r="5" spans="1:7" x14ac:dyDescent="0.25">
      <c r="A5" s="193" t="s">
        <v>3289</v>
      </c>
      <c r="B5" s="191" t="str">
        <f>ANIO5R</f>
        <v>2012 ¹ (c)</v>
      </c>
      <c r="C5" s="191" t="str">
        <f>ANIO4R</f>
        <v>2013 ¹ (c)</v>
      </c>
      <c r="D5" s="191" t="str">
        <f>ANIO3R</f>
        <v>2014 ¹ (c)</v>
      </c>
      <c r="E5" s="191" t="str">
        <f>ANIO2R</f>
        <v>2015 ¹ (c)</v>
      </c>
      <c r="F5" s="191" t="str">
        <f>ANIO1R</f>
        <v>2016 ¹ (c)</v>
      </c>
      <c r="G5" s="51">
        <f>ANIO_INFORME</f>
        <v>2017</v>
      </c>
    </row>
    <row r="6" spans="1:7" ht="32.1" customHeight="1" x14ac:dyDescent="0.25">
      <c r="A6" s="194"/>
      <c r="B6" s="192"/>
      <c r="C6" s="192"/>
      <c r="D6" s="192"/>
      <c r="E6" s="192"/>
      <c r="F6" s="192"/>
      <c r="G6" s="88" t="s">
        <v>3295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3299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x14ac:dyDescent="0.2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90" t="s">
        <v>3293</v>
      </c>
      <c r="B39" s="190"/>
      <c r="C39" s="190"/>
      <c r="D39" s="190"/>
      <c r="E39" s="190"/>
      <c r="F39" s="190"/>
      <c r="G39" s="190"/>
    </row>
    <row r="40" spans="1:7" ht="15" customHeight="1" x14ac:dyDescent="0.25">
      <c r="A40" s="190" t="s">
        <v>3294</v>
      </c>
      <c r="B40" s="190"/>
      <c r="C40" s="190"/>
      <c r="D40" s="190"/>
      <c r="E40" s="190"/>
      <c r="F40" s="190"/>
      <c r="G40" s="190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topLeftCell="A16" zoomScale="90" zoomScaleNormal="90" workbookViewId="0">
      <selection activeCell="E14" sqref="E14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6" t="s">
        <v>490</v>
      </c>
      <c r="B1" s="176"/>
      <c r="C1" s="176"/>
      <c r="D1" s="176"/>
      <c r="E1" s="176"/>
      <c r="F1" s="176"/>
      <c r="G1" s="176"/>
    </row>
    <row r="2" spans="1:7" ht="14.25" x14ac:dyDescent="0.45">
      <c r="A2" s="158" t="str">
        <f>ENTIDAD</f>
        <v>Municipio de San Felipe, Gobierno del Estado de Guanajuato</v>
      </c>
      <c r="B2" s="159"/>
      <c r="C2" s="159"/>
      <c r="D2" s="159"/>
      <c r="E2" s="159"/>
      <c r="F2" s="159"/>
      <c r="G2" s="160"/>
    </row>
    <row r="3" spans="1:7" ht="14.25" x14ac:dyDescent="0.45">
      <c r="A3" s="161" t="s">
        <v>491</v>
      </c>
      <c r="B3" s="162"/>
      <c r="C3" s="162"/>
      <c r="D3" s="162"/>
      <c r="E3" s="162"/>
      <c r="F3" s="162"/>
      <c r="G3" s="163"/>
    </row>
    <row r="4" spans="1:7" ht="14.25" x14ac:dyDescent="0.45">
      <c r="A4" s="167" t="s">
        <v>118</v>
      </c>
      <c r="B4" s="168"/>
      <c r="C4" s="168"/>
      <c r="D4" s="168"/>
      <c r="E4" s="168"/>
      <c r="F4" s="168"/>
      <c r="G4" s="169"/>
    </row>
    <row r="5" spans="1:7" x14ac:dyDescent="0.25">
      <c r="A5" s="195" t="s">
        <v>3142</v>
      </c>
      <c r="B5" s="191" t="str">
        <f>ANIO5R</f>
        <v>2012 ¹ (c)</v>
      </c>
      <c r="C5" s="191" t="str">
        <f>ANIO4R</f>
        <v>2013 ¹ (c)</v>
      </c>
      <c r="D5" s="191" t="str">
        <f>ANIO3R</f>
        <v>2014 ¹ (c)</v>
      </c>
      <c r="E5" s="191" t="str">
        <f>ANIO2R</f>
        <v>2015 ¹ (c)</v>
      </c>
      <c r="F5" s="191" t="str">
        <f>ANIO1R</f>
        <v>2016 ¹ (c)</v>
      </c>
      <c r="G5" s="51">
        <f>ANIO_INFORME</f>
        <v>2017</v>
      </c>
    </row>
    <row r="6" spans="1:7" ht="32.1" customHeight="1" x14ac:dyDescent="0.25">
      <c r="A6" s="196"/>
      <c r="B6" s="192"/>
      <c r="C6" s="192"/>
      <c r="D6" s="192"/>
      <c r="E6" s="192"/>
      <c r="F6" s="192"/>
      <c r="G6" s="88" t="s">
        <v>3296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90" t="s">
        <v>3293</v>
      </c>
      <c r="B32" s="190"/>
      <c r="C32" s="190"/>
      <c r="D32" s="190"/>
      <c r="E32" s="190"/>
      <c r="F32" s="190"/>
      <c r="G32" s="190"/>
    </row>
    <row r="33" spans="1:7" x14ac:dyDescent="0.25">
      <c r="A33" s="190" t="s">
        <v>3294</v>
      </c>
      <c r="B33" s="190"/>
      <c r="C33" s="190"/>
      <c r="D33" s="190"/>
      <c r="E33" s="190"/>
      <c r="F33" s="190"/>
      <c r="G33" s="190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13" zoomScale="90" zoomScaleNormal="90" workbookViewId="0">
      <selection activeCell="E14" sqref="E14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70" t="s">
        <v>495</v>
      </c>
      <c r="B1" s="170"/>
      <c r="C1" s="170"/>
      <c r="D1" s="170"/>
      <c r="E1" s="170"/>
      <c r="F1" s="170"/>
      <c r="G1" s="111"/>
    </row>
    <row r="2" spans="1:7" ht="14.25" x14ac:dyDescent="0.45">
      <c r="A2" s="158" t="str">
        <f>ENTE_PUBLICO</f>
        <v>ORGANISMO, Gobierno del Estado de Guanajuato</v>
      </c>
      <c r="B2" s="159"/>
      <c r="C2" s="159"/>
      <c r="D2" s="159"/>
      <c r="E2" s="159"/>
      <c r="F2" s="160"/>
    </row>
    <row r="3" spans="1:7" ht="14.25" x14ac:dyDescent="0.45">
      <c r="A3" s="167" t="s">
        <v>496</v>
      </c>
      <c r="B3" s="168"/>
      <c r="C3" s="168"/>
      <c r="D3" s="168"/>
      <c r="E3" s="168"/>
      <c r="F3" s="169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5" t="s">
        <v>502</v>
      </c>
      <c r="B5" s="5"/>
      <c r="C5" s="5"/>
      <c r="D5" s="5"/>
      <c r="E5" s="5"/>
      <c r="F5" s="5"/>
    </row>
    <row r="6" spans="1:7" ht="30" x14ac:dyDescent="0.25">
      <c r="A6" s="136" t="s">
        <v>503</v>
      </c>
      <c r="B6" s="60"/>
      <c r="C6" s="60"/>
      <c r="D6" s="60"/>
      <c r="E6" s="60"/>
      <c r="F6" s="60"/>
    </row>
    <row r="7" spans="1:7" x14ac:dyDescent="0.25">
      <c r="A7" s="136" t="s">
        <v>504</v>
      </c>
      <c r="B7" s="60"/>
      <c r="C7" s="60"/>
      <c r="D7" s="60"/>
      <c r="E7" s="60"/>
      <c r="F7" s="60"/>
    </row>
    <row r="8" spans="1:7" ht="14.25" x14ac:dyDescent="0.45">
      <c r="A8" s="137"/>
      <c r="B8" s="54"/>
      <c r="C8" s="54"/>
      <c r="D8" s="54"/>
      <c r="E8" s="54"/>
      <c r="F8" s="54"/>
    </row>
    <row r="9" spans="1:7" x14ac:dyDescent="0.25">
      <c r="A9" s="135" t="s">
        <v>505</v>
      </c>
      <c r="B9" s="54"/>
      <c r="C9" s="54"/>
      <c r="D9" s="54"/>
      <c r="E9" s="54"/>
      <c r="F9" s="54"/>
    </row>
    <row r="10" spans="1:7" ht="14.25" x14ac:dyDescent="0.45">
      <c r="A10" s="136" t="s">
        <v>506</v>
      </c>
      <c r="B10" s="60"/>
      <c r="C10" s="60"/>
      <c r="D10" s="60"/>
      <c r="E10" s="60"/>
      <c r="F10" s="60"/>
    </row>
    <row r="11" spans="1:7" x14ac:dyDescent="0.25">
      <c r="A11" s="138" t="s">
        <v>507</v>
      </c>
      <c r="B11" s="60"/>
      <c r="C11" s="60"/>
      <c r="D11" s="60"/>
      <c r="E11" s="60"/>
      <c r="F11" s="60"/>
    </row>
    <row r="12" spans="1:7" x14ac:dyDescent="0.25">
      <c r="A12" s="138" t="s">
        <v>508</v>
      </c>
      <c r="B12" s="60"/>
      <c r="C12" s="60"/>
      <c r="D12" s="60"/>
      <c r="E12" s="60"/>
      <c r="F12" s="60"/>
    </row>
    <row r="13" spans="1:7" ht="14.25" x14ac:dyDescent="0.45">
      <c r="A13" s="138" t="s">
        <v>509</v>
      </c>
      <c r="B13" s="60"/>
      <c r="C13" s="60"/>
      <c r="D13" s="60"/>
      <c r="E13" s="60"/>
      <c r="F13" s="60"/>
    </row>
    <row r="14" spans="1:7" ht="14.25" x14ac:dyDescent="0.45">
      <c r="A14" s="136" t="s">
        <v>510</v>
      </c>
      <c r="B14" s="60"/>
      <c r="C14" s="60"/>
      <c r="D14" s="60"/>
      <c r="E14" s="60"/>
      <c r="F14" s="60"/>
    </row>
    <row r="15" spans="1:7" x14ac:dyDescent="0.25">
      <c r="A15" s="138" t="s">
        <v>507</v>
      </c>
      <c r="B15" s="60"/>
      <c r="C15" s="60"/>
      <c r="D15" s="60"/>
      <c r="E15" s="60"/>
      <c r="F15" s="60"/>
    </row>
    <row r="16" spans="1:7" x14ac:dyDescent="0.25">
      <c r="A16" s="138" t="s">
        <v>508</v>
      </c>
      <c r="B16" s="60"/>
      <c r="C16" s="60"/>
      <c r="D16" s="60"/>
      <c r="E16" s="60"/>
      <c r="F16" s="60"/>
    </row>
    <row r="17" spans="1:6" ht="14.25" x14ac:dyDescent="0.45">
      <c r="A17" s="138" t="s">
        <v>509</v>
      </c>
      <c r="B17" s="60"/>
      <c r="C17" s="60"/>
      <c r="D17" s="60"/>
      <c r="E17" s="60"/>
      <c r="F17" s="60"/>
    </row>
    <row r="18" spans="1:6" ht="14.25" x14ac:dyDescent="0.45">
      <c r="A18" s="136" t="s">
        <v>511</v>
      </c>
      <c r="B18" s="144"/>
      <c r="C18" s="60"/>
      <c r="D18" s="60"/>
      <c r="E18" s="60"/>
      <c r="F18" s="60"/>
    </row>
    <row r="19" spans="1:6" x14ac:dyDescent="0.25">
      <c r="A19" s="136" t="s">
        <v>512</v>
      </c>
      <c r="B19" s="60"/>
      <c r="C19" s="60"/>
      <c r="D19" s="60"/>
      <c r="E19" s="60"/>
      <c r="F19" s="60"/>
    </row>
    <row r="20" spans="1:6" x14ac:dyDescent="0.25">
      <c r="A20" s="136" t="s">
        <v>513</v>
      </c>
      <c r="B20" s="145"/>
      <c r="C20" s="145"/>
      <c r="D20" s="145"/>
      <c r="E20" s="145"/>
      <c r="F20" s="145"/>
    </row>
    <row r="21" spans="1:6" x14ac:dyDescent="0.25">
      <c r="A21" s="136" t="s">
        <v>514</v>
      </c>
      <c r="B21" s="145"/>
      <c r="C21" s="145"/>
      <c r="D21" s="145"/>
      <c r="E21" s="145"/>
      <c r="F21" s="145"/>
    </row>
    <row r="22" spans="1:6" ht="14.25" x14ac:dyDescent="0.45">
      <c r="A22" s="64" t="s">
        <v>515</v>
      </c>
      <c r="B22" s="145"/>
      <c r="C22" s="145"/>
      <c r="D22" s="145"/>
      <c r="E22" s="145"/>
      <c r="F22" s="145"/>
    </row>
    <row r="23" spans="1:6" ht="14.25" x14ac:dyDescent="0.45">
      <c r="A23" s="64" t="s">
        <v>516</v>
      </c>
      <c r="B23" s="145"/>
      <c r="C23" s="145"/>
      <c r="D23" s="145"/>
      <c r="E23" s="145"/>
      <c r="F23" s="145"/>
    </row>
    <row r="24" spans="1:6" x14ac:dyDescent="0.25">
      <c r="A24" s="64" t="s">
        <v>517</v>
      </c>
      <c r="B24" s="146"/>
      <c r="C24" s="60"/>
      <c r="D24" s="60"/>
      <c r="E24" s="60"/>
      <c r="F24" s="60"/>
    </row>
    <row r="25" spans="1:6" ht="14.25" x14ac:dyDescent="0.45">
      <c r="A25" s="136" t="s">
        <v>518</v>
      </c>
      <c r="B25" s="146"/>
      <c r="C25" s="60"/>
      <c r="D25" s="60"/>
      <c r="E25" s="60"/>
      <c r="F25" s="60"/>
    </row>
    <row r="26" spans="1:6" ht="14.25" x14ac:dyDescent="0.45">
      <c r="A26" s="137"/>
      <c r="B26" s="54"/>
      <c r="C26" s="54"/>
      <c r="D26" s="54"/>
      <c r="E26" s="54"/>
      <c r="F26" s="54"/>
    </row>
    <row r="27" spans="1:6" ht="14.25" x14ac:dyDescent="0.45">
      <c r="A27" s="135" t="s">
        <v>519</v>
      </c>
      <c r="B27" s="54"/>
      <c r="C27" s="54"/>
      <c r="D27" s="54"/>
      <c r="E27" s="54"/>
      <c r="F27" s="54"/>
    </row>
    <row r="28" spans="1:6" ht="14.25" x14ac:dyDescent="0.45">
      <c r="A28" s="136" t="s">
        <v>520</v>
      </c>
      <c r="B28" s="60"/>
      <c r="C28" s="60"/>
      <c r="D28" s="60"/>
      <c r="E28" s="60"/>
      <c r="F28" s="60"/>
    </row>
    <row r="29" spans="1:6" ht="14.25" x14ac:dyDescent="0.45">
      <c r="A29" s="137"/>
      <c r="B29" s="54"/>
      <c r="C29" s="54"/>
      <c r="D29" s="54"/>
      <c r="E29" s="54"/>
      <c r="F29" s="54"/>
    </row>
    <row r="30" spans="1:6" x14ac:dyDescent="0.25">
      <c r="A30" s="135" t="s">
        <v>521</v>
      </c>
      <c r="B30" s="54"/>
      <c r="C30" s="54"/>
      <c r="D30" s="54"/>
      <c r="E30" s="54"/>
      <c r="F30" s="54"/>
    </row>
    <row r="31" spans="1:6" x14ac:dyDescent="0.25">
      <c r="A31" s="136" t="s">
        <v>506</v>
      </c>
      <c r="B31" s="60"/>
      <c r="C31" s="60"/>
      <c r="D31" s="60"/>
      <c r="E31" s="60"/>
      <c r="F31" s="60"/>
    </row>
    <row r="32" spans="1:6" x14ac:dyDescent="0.25">
      <c r="A32" s="136" t="s">
        <v>510</v>
      </c>
      <c r="B32" s="60"/>
      <c r="C32" s="60"/>
      <c r="D32" s="60"/>
      <c r="E32" s="60"/>
      <c r="F32" s="60"/>
    </row>
    <row r="33" spans="1:6" x14ac:dyDescent="0.25">
      <c r="A33" s="136" t="s">
        <v>522</v>
      </c>
      <c r="B33" s="60"/>
      <c r="C33" s="60"/>
      <c r="D33" s="60"/>
      <c r="E33" s="60"/>
      <c r="F33" s="60"/>
    </row>
    <row r="34" spans="1:6" x14ac:dyDescent="0.25">
      <c r="A34" s="137"/>
      <c r="B34" s="54"/>
      <c r="C34" s="54"/>
      <c r="D34" s="54"/>
      <c r="E34" s="54"/>
      <c r="F34" s="54"/>
    </row>
    <row r="35" spans="1:6" x14ac:dyDescent="0.25">
      <c r="A35" s="135" t="s">
        <v>523</v>
      </c>
      <c r="B35" s="54"/>
      <c r="C35" s="54"/>
      <c r="D35" s="54"/>
      <c r="E35" s="54"/>
      <c r="F35" s="54"/>
    </row>
    <row r="36" spans="1:6" x14ac:dyDescent="0.25">
      <c r="A36" s="136" t="s">
        <v>524</v>
      </c>
      <c r="B36" s="60"/>
      <c r="C36" s="60"/>
      <c r="D36" s="60"/>
      <c r="E36" s="60"/>
      <c r="F36" s="60"/>
    </row>
    <row r="37" spans="1:6" x14ac:dyDescent="0.25">
      <c r="A37" s="136" t="s">
        <v>525</v>
      </c>
      <c r="B37" s="60"/>
      <c r="C37" s="60"/>
      <c r="D37" s="60"/>
      <c r="E37" s="60"/>
      <c r="F37" s="60"/>
    </row>
    <row r="38" spans="1:6" x14ac:dyDescent="0.25">
      <c r="A38" s="136" t="s">
        <v>526</v>
      </c>
      <c r="B38" s="146"/>
      <c r="C38" s="60"/>
      <c r="D38" s="60"/>
      <c r="E38" s="60"/>
      <c r="F38" s="60"/>
    </row>
    <row r="39" spans="1:6" x14ac:dyDescent="0.25">
      <c r="A39" s="137"/>
      <c r="B39" s="54"/>
      <c r="C39" s="54"/>
      <c r="D39" s="54"/>
      <c r="E39" s="54"/>
      <c r="F39" s="54"/>
    </row>
    <row r="40" spans="1:6" x14ac:dyDescent="0.25">
      <c r="A40" s="135" t="s">
        <v>527</v>
      </c>
      <c r="B40" s="60"/>
      <c r="C40" s="60"/>
      <c r="D40" s="60"/>
      <c r="E40" s="60"/>
      <c r="F40" s="60"/>
    </row>
    <row r="41" spans="1:6" x14ac:dyDescent="0.25">
      <c r="A41" s="137"/>
      <c r="B41" s="54"/>
      <c r="C41" s="54"/>
      <c r="D41" s="54"/>
      <c r="E41" s="54"/>
      <c r="F41" s="54"/>
    </row>
    <row r="42" spans="1:6" x14ac:dyDescent="0.25">
      <c r="A42" s="135" t="s">
        <v>528</v>
      </c>
      <c r="B42" s="54"/>
      <c r="C42" s="54"/>
      <c r="D42" s="54"/>
      <c r="E42" s="54"/>
      <c r="F42" s="54"/>
    </row>
    <row r="43" spans="1:6" x14ac:dyDescent="0.25">
      <c r="A43" s="136" t="s">
        <v>529</v>
      </c>
      <c r="B43" s="60"/>
      <c r="C43" s="60"/>
      <c r="D43" s="60"/>
      <c r="E43" s="60"/>
      <c r="F43" s="60"/>
    </row>
    <row r="44" spans="1:6" x14ac:dyDescent="0.25">
      <c r="A44" s="136" t="s">
        <v>530</v>
      </c>
      <c r="B44" s="60"/>
      <c r="C44" s="60"/>
      <c r="D44" s="60"/>
      <c r="E44" s="60"/>
      <c r="F44" s="60"/>
    </row>
    <row r="45" spans="1:6" x14ac:dyDescent="0.25">
      <c r="A45" s="136" t="s">
        <v>531</v>
      </c>
      <c r="B45" s="60"/>
      <c r="C45" s="60"/>
      <c r="D45" s="60"/>
      <c r="E45" s="60"/>
      <c r="F45" s="60"/>
    </row>
    <row r="46" spans="1:6" x14ac:dyDescent="0.25">
      <c r="A46" s="137"/>
      <c r="B46" s="54"/>
      <c r="C46" s="54"/>
      <c r="D46" s="54"/>
      <c r="E46" s="54"/>
      <c r="F46" s="54"/>
    </row>
    <row r="47" spans="1:6" ht="30" x14ac:dyDescent="0.25">
      <c r="A47" s="135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5"/>
      <c r="C48" s="145"/>
      <c r="D48" s="145"/>
      <c r="E48" s="145"/>
      <c r="F48" s="145"/>
    </row>
    <row r="49" spans="1:6" x14ac:dyDescent="0.25">
      <c r="A49" s="64" t="s">
        <v>531</v>
      </c>
      <c r="B49" s="145"/>
      <c r="C49" s="145"/>
      <c r="D49" s="145"/>
      <c r="E49" s="145"/>
      <c r="F49" s="145"/>
    </row>
    <row r="50" spans="1:6" x14ac:dyDescent="0.25">
      <c r="A50" s="137"/>
      <c r="B50" s="54"/>
      <c r="C50" s="54"/>
      <c r="D50" s="54"/>
      <c r="E50" s="54"/>
      <c r="F50" s="54"/>
    </row>
    <row r="51" spans="1:6" x14ac:dyDescent="0.25">
      <c r="A51" s="135" t="s">
        <v>533</v>
      </c>
      <c r="B51" s="54"/>
      <c r="C51" s="54"/>
      <c r="D51" s="54"/>
      <c r="E51" s="54"/>
      <c r="F51" s="54"/>
    </row>
    <row r="52" spans="1:6" x14ac:dyDescent="0.25">
      <c r="A52" s="136" t="s">
        <v>530</v>
      </c>
      <c r="B52" s="60"/>
      <c r="C52" s="60"/>
      <c r="D52" s="60"/>
      <c r="E52" s="60"/>
      <c r="F52" s="60"/>
    </row>
    <row r="53" spans="1:6" x14ac:dyDescent="0.25">
      <c r="A53" s="136" t="s">
        <v>531</v>
      </c>
      <c r="B53" s="60"/>
      <c r="C53" s="60"/>
      <c r="D53" s="60"/>
      <c r="E53" s="60"/>
      <c r="F53" s="60"/>
    </row>
    <row r="54" spans="1:6" x14ac:dyDescent="0.25">
      <c r="A54" s="136" t="s">
        <v>534</v>
      </c>
      <c r="B54" s="60"/>
      <c r="C54" s="60"/>
      <c r="D54" s="60"/>
      <c r="E54" s="60"/>
      <c r="F54" s="60"/>
    </row>
    <row r="55" spans="1:6" x14ac:dyDescent="0.25">
      <c r="A55" s="137"/>
      <c r="B55" s="54"/>
      <c r="C55" s="54"/>
      <c r="D55" s="54"/>
      <c r="E55" s="54"/>
      <c r="F55" s="54"/>
    </row>
    <row r="56" spans="1:6" x14ac:dyDescent="0.25">
      <c r="A56" s="135" t="s">
        <v>535</v>
      </c>
      <c r="B56" s="54"/>
      <c r="C56" s="54"/>
      <c r="D56" s="54"/>
      <c r="E56" s="54"/>
      <c r="F56" s="54"/>
    </row>
    <row r="57" spans="1:6" x14ac:dyDescent="0.25">
      <c r="A57" s="136" t="s">
        <v>530</v>
      </c>
      <c r="B57" s="60"/>
      <c r="C57" s="60"/>
      <c r="D57" s="60"/>
      <c r="E57" s="60"/>
      <c r="F57" s="60"/>
    </row>
    <row r="58" spans="1:6" x14ac:dyDescent="0.25">
      <c r="A58" s="136" t="s">
        <v>531</v>
      </c>
      <c r="B58" s="60"/>
      <c r="C58" s="60"/>
      <c r="D58" s="60"/>
      <c r="E58" s="60"/>
      <c r="F58" s="60"/>
    </row>
    <row r="59" spans="1:6" x14ac:dyDescent="0.25">
      <c r="A59" s="137"/>
      <c r="B59" s="54"/>
      <c r="C59" s="54"/>
      <c r="D59" s="54"/>
      <c r="E59" s="54"/>
      <c r="F59" s="54"/>
    </row>
    <row r="60" spans="1:6" x14ac:dyDescent="0.25">
      <c r="A60" s="135" t="s">
        <v>536</v>
      </c>
      <c r="B60" s="54"/>
      <c r="C60" s="54"/>
      <c r="D60" s="54"/>
      <c r="E60" s="54"/>
      <c r="F60" s="54"/>
    </row>
    <row r="61" spans="1:6" x14ac:dyDescent="0.25">
      <c r="A61" s="136" t="s">
        <v>537</v>
      </c>
      <c r="B61" s="60"/>
      <c r="C61" s="60"/>
      <c r="D61" s="60"/>
      <c r="E61" s="60"/>
      <c r="F61" s="60"/>
    </row>
    <row r="62" spans="1:6" x14ac:dyDescent="0.25">
      <c r="A62" s="136" t="s">
        <v>538</v>
      </c>
      <c r="B62" s="146"/>
      <c r="C62" s="60"/>
      <c r="D62" s="60"/>
      <c r="E62" s="60"/>
      <c r="F62" s="60"/>
    </row>
    <row r="63" spans="1:6" x14ac:dyDescent="0.25">
      <c r="A63" s="137"/>
      <c r="B63" s="54"/>
      <c r="C63" s="54"/>
      <c r="D63" s="54"/>
      <c r="E63" s="54"/>
      <c r="F63" s="54"/>
    </row>
    <row r="64" spans="1:6" x14ac:dyDescent="0.25">
      <c r="A64" s="135" t="s">
        <v>539</v>
      </c>
      <c r="B64" s="54"/>
      <c r="C64" s="54"/>
      <c r="D64" s="54"/>
      <c r="E64" s="54"/>
      <c r="F64" s="54"/>
    </row>
    <row r="65" spans="1:6" x14ac:dyDescent="0.25">
      <c r="A65" s="136" t="s">
        <v>540</v>
      </c>
      <c r="B65" s="60"/>
      <c r="C65" s="60"/>
      <c r="D65" s="60"/>
      <c r="E65" s="60"/>
      <c r="F65" s="60"/>
    </row>
    <row r="66" spans="1:6" x14ac:dyDescent="0.25">
      <c r="A66" s="136" t="s">
        <v>541</v>
      </c>
      <c r="B66" s="60"/>
      <c r="C66" s="60"/>
      <c r="D66" s="60"/>
      <c r="E66" s="60"/>
      <c r="F66" s="60"/>
    </row>
    <row r="67" spans="1:6" x14ac:dyDescent="0.25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58" zoomScale="90" zoomScaleNormal="90" workbookViewId="0">
      <selection activeCell="E69" sqref="E69:F70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0" t="s">
        <v>545</v>
      </c>
      <c r="B1" s="170"/>
      <c r="C1" s="170"/>
      <c r="D1" s="170"/>
      <c r="E1" s="170"/>
      <c r="F1" s="170"/>
    </row>
    <row r="2" spans="1:6" ht="14.25" x14ac:dyDescent="0.45">
      <c r="A2" s="158" t="str">
        <f>ENTE_PUBLICO_A</f>
        <v>ORGANISMO, Gobierno del Estado de Guanajuato (a)</v>
      </c>
      <c r="B2" s="159"/>
      <c r="C2" s="159"/>
      <c r="D2" s="159"/>
      <c r="E2" s="159"/>
      <c r="F2" s="160"/>
    </row>
    <row r="3" spans="1:6" x14ac:dyDescent="0.25">
      <c r="A3" s="161" t="s">
        <v>117</v>
      </c>
      <c r="B3" s="162"/>
      <c r="C3" s="162"/>
      <c r="D3" s="162"/>
      <c r="E3" s="162"/>
      <c r="F3" s="163"/>
    </row>
    <row r="4" spans="1:6" ht="14.25" x14ac:dyDescent="0.45">
      <c r="A4" s="164" t="str">
        <f>PERIODO_INFORME</f>
        <v>Al 31 de diciembre de 2016 y al 31 de diciembre de 2017 (b)</v>
      </c>
      <c r="B4" s="165"/>
      <c r="C4" s="165"/>
      <c r="D4" s="165"/>
      <c r="E4" s="165"/>
      <c r="F4" s="166"/>
    </row>
    <row r="5" spans="1:6" ht="14.25" x14ac:dyDescent="0.45">
      <c r="A5" s="167" t="s">
        <v>118</v>
      </c>
      <c r="B5" s="168"/>
      <c r="C5" s="168"/>
      <c r="D5" s="168"/>
      <c r="E5" s="168"/>
      <c r="F5" s="169"/>
    </row>
    <row r="6" spans="1:6" s="3" customFormat="1" ht="28.5" x14ac:dyDescent="0.45">
      <c r="A6" s="132" t="s">
        <v>3285</v>
      </c>
      <c r="B6" s="133" t="str">
        <f>ANIO</f>
        <v>2017 (d)</v>
      </c>
      <c r="C6" s="130" t="str">
        <f>ULTIMO</f>
        <v>31 de diciembre de 2016 (e)</v>
      </c>
      <c r="D6" s="134" t="s">
        <v>0</v>
      </c>
      <c r="E6" s="133" t="str">
        <f>ANIO</f>
        <v>2017 (d)</v>
      </c>
      <c r="F6" s="130" t="str">
        <f>ULTIMO</f>
        <v>31 de diciembre de 2016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v>104918454.85000001</v>
      </c>
      <c r="C9" s="60">
        <v>100639591.34</v>
      </c>
      <c r="D9" s="100" t="s">
        <v>54</v>
      </c>
      <c r="E9" s="60">
        <v>25779919.949999996</v>
      </c>
      <c r="F9" s="60">
        <v>20585119.09</v>
      </c>
    </row>
    <row r="10" spans="1:6" x14ac:dyDescent="0.25">
      <c r="A10" s="96" t="s">
        <v>4</v>
      </c>
      <c r="B10" s="60">
        <v>1</v>
      </c>
      <c r="C10" s="60">
        <v>1</v>
      </c>
      <c r="D10" s="101" t="s">
        <v>55</v>
      </c>
      <c r="E10" s="60">
        <v>2002915.23</v>
      </c>
      <c r="F10" s="60">
        <v>1967368.93</v>
      </c>
    </row>
    <row r="11" spans="1:6" x14ac:dyDescent="0.25">
      <c r="A11" s="96" t="s">
        <v>5</v>
      </c>
      <c r="B11" s="60">
        <v>34044688.270000003</v>
      </c>
      <c r="C11" s="60">
        <v>30774595.059999999</v>
      </c>
      <c r="D11" s="101" t="s">
        <v>56</v>
      </c>
      <c r="E11" s="60">
        <v>2756516.07</v>
      </c>
      <c r="F11" s="60">
        <v>2067014.23</v>
      </c>
    </row>
    <row r="12" spans="1:6" x14ac:dyDescent="0.25">
      <c r="A12" s="96" t="s">
        <v>6</v>
      </c>
      <c r="B12" s="77">
        <v>1</v>
      </c>
      <c r="C12" s="60">
        <v>1</v>
      </c>
      <c r="D12" s="101" t="s">
        <v>57</v>
      </c>
      <c r="E12" s="60">
        <v>13504411.35</v>
      </c>
      <c r="F12" s="60">
        <v>8788537.2200000007</v>
      </c>
    </row>
    <row r="13" spans="1:6" x14ac:dyDescent="0.25">
      <c r="A13" s="96" t="s">
        <v>7</v>
      </c>
      <c r="B13" s="60">
        <v>53382036.530000001</v>
      </c>
      <c r="C13" s="60">
        <v>59081303.210000001</v>
      </c>
      <c r="D13" s="101" t="s">
        <v>58</v>
      </c>
      <c r="E13" s="60">
        <v>1</v>
      </c>
      <c r="F13" s="60">
        <v>523735</v>
      </c>
    </row>
    <row r="14" spans="1:6" x14ac:dyDescent="0.25">
      <c r="A14" s="96" t="s">
        <v>8</v>
      </c>
      <c r="B14" s="60">
        <v>17491730.050000001</v>
      </c>
      <c r="C14" s="60">
        <v>10783693.07</v>
      </c>
      <c r="D14" s="101" t="s">
        <v>59</v>
      </c>
      <c r="E14" s="60">
        <v>5009461.3899999997</v>
      </c>
      <c r="F14" s="60">
        <v>1123499.8400000001</v>
      </c>
    </row>
    <row r="15" spans="1:6" x14ac:dyDescent="0.25">
      <c r="A15" s="96" t="s">
        <v>9</v>
      </c>
      <c r="B15" s="60">
        <v>1</v>
      </c>
      <c r="C15" s="60">
        <v>1</v>
      </c>
      <c r="D15" s="101" t="s">
        <v>60</v>
      </c>
      <c r="E15" s="60">
        <v>1</v>
      </c>
      <c r="F15" s="60">
        <v>1</v>
      </c>
    </row>
    <row r="16" spans="1:6" x14ac:dyDescent="0.25">
      <c r="A16" s="96" t="s">
        <v>10</v>
      </c>
      <c r="B16" s="60">
        <v>1</v>
      </c>
      <c r="C16" s="60">
        <v>1</v>
      </c>
      <c r="D16" s="101" t="s">
        <v>61</v>
      </c>
      <c r="E16" s="60">
        <v>2210006.5099999998</v>
      </c>
      <c r="F16" s="60">
        <v>1827003.53</v>
      </c>
    </row>
    <row r="17" spans="1:6" ht="14.25" x14ac:dyDescent="0.45">
      <c r="A17" s="95" t="s">
        <v>11</v>
      </c>
      <c r="B17" s="60">
        <f>SUM(B18:B24)</f>
        <v>5329866.93</v>
      </c>
      <c r="C17" s="60">
        <f>SUM(C18:C24)</f>
        <v>13110665.82</v>
      </c>
      <c r="D17" s="101" t="s">
        <v>62</v>
      </c>
      <c r="E17" s="60">
        <v>1</v>
      </c>
      <c r="F17" s="60">
        <v>1</v>
      </c>
    </row>
    <row r="18" spans="1:6" x14ac:dyDescent="0.25">
      <c r="A18" s="97" t="s">
        <v>12</v>
      </c>
      <c r="B18" s="60">
        <v>1</v>
      </c>
      <c r="C18" s="60">
        <v>1</v>
      </c>
      <c r="D18" s="101" t="s">
        <v>63</v>
      </c>
      <c r="E18" s="148">
        <v>296609.40000000002</v>
      </c>
      <c r="F18" s="148">
        <v>4287960.34</v>
      </c>
    </row>
    <row r="19" spans="1:6" x14ac:dyDescent="0.25">
      <c r="A19" s="97" t="s">
        <v>13</v>
      </c>
      <c r="B19" s="60">
        <v>17017.64</v>
      </c>
      <c r="C19" s="60">
        <v>21750.43</v>
      </c>
      <c r="D19" s="100" t="s">
        <v>64</v>
      </c>
      <c r="E19" s="60">
        <f>SUM(E20:E22)</f>
        <v>3</v>
      </c>
      <c r="F19" s="60">
        <f>SUM(F20:F22)</f>
        <v>3</v>
      </c>
    </row>
    <row r="20" spans="1:6" x14ac:dyDescent="0.25">
      <c r="A20" s="97" t="s">
        <v>14</v>
      </c>
      <c r="B20" s="60">
        <v>4034845.9</v>
      </c>
      <c r="C20" s="60">
        <v>4038079.9</v>
      </c>
      <c r="D20" s="101" t="s">
        <v>65</v>
      </c>
      <c r="E20" s="60">
        <v>1</v>
      </c>
      <c r="F20" s="60">
        <v>1</v>
      </c>
    </row>
    <row r="21" spans="1:6" x14ac:dyDescent="0.25">
      <c r="A21" s="97" t="s">
        <v>15</v>
      </c>
      <c r="B21" s="60">
        <v>1</v>
      </c>
      <c r="C21" s="60">
        <v>1</v>
      </c>
      <c r="D21" s="101" t="s">
        <v>66</v>
      </c>
      <c r="E21" s="60">
        <v>1</v>
      </c>
      <c r="F21" s="60">
        <v>1</v>
      </c>
    </row>
    <row r="22" spans="1:6" x14ac:dyDescent="0.25">
      <c r="A22" s="97" t="s">
        <v>16</v>
      </c>
      <c r="B22" s="60">
        <v>1</v>
      </c>
      <c r="C22" s="60">
        <v>1</v>
      </c>
      <c r="D22" s="101" t="s">
        <v>67</v>
      </c>
      <c r="E22" s="60">
        <v>1</v>
      </c>
      <c r="F22" s="60">
        <v>1</v>
      </c>
    </row>
    <row r="23" spans="1:6" x14ac:dyDescent="0.25">
      <c r="A23" s="97" t="s">
        <v>17</v>
      </c>
      <c r="B23" s="60">
        <v>1</v>
      </c>
      <c r="C23" s="60">
        <v>1</v>
      </c>
      <c r="D23" s="100" t="s">
        <v>68</v>
      </c>
      <c r="E23" s="60">
        <f>E24+E25</f>
        <v>2</v>
      </c>
      <c r="F23" s="60">
        <f>F24+F25</f>
        <v>2</v>
      </c>
    </row>
    <row r="24" spans="1:6" x14ac:dyDescent="0.25">
      <c r="A24" s="97" t="s">
        <v>18</v>
      </c>
      <c r="B24" s="60">
        <v>1277999.3899999999</v>
      </c>
      <c r="C24" s="60">
        <v>9050831.4900000002</v>
      </c>
      <c r="D24" s="101" t="s">
        <v>69</v>
      </c>
      <c r="E24" s="60">
        <v>1</v>
      </c>
      <c r="F24" s="60">
        <v>1</v>
      </c>
    </row>
    <row r="25" spans="1:6" x14ac:dyDescent="0.25">
      <c r="A25" s="95" t="s">
        <v>19</v>
      </c>
      <c r="B25" s="60">
        <v>40022235.579999998</v>
      </c>
      <c r="C25" s="60">
        <v>21875037.919999998</v>
      </c>
      <c r="D25" s="101" t="s">
        <v>70</v>
      </c>
      <c r="E25" s="60">
        <v>1</v>
      </c>
      <c r="F25" s="60">
        <v>1</v>
      </c>
    </row>
    <row r="26" spans="1:6" x14ac:dyDescent="0.25">
      <c r="A26" s="97" t="s">
        <v>20</v>
      </c>
      <c r="B26" s="60">
        <v>710426.39</v>
      </c>
      <c r="C26" s="60">
        <v>1377871.89</v>
      </c>
      <c r="D26" s="100" t="s">
        <v>71</v>
      </c>
      <c r="E26" s="60">
        <v>1</v>
      </c>
      <c r="F26" s="60">
        <v>1</v>
      </c>
    </row>
    <row r="27" spans="1:6" x14ac:dyDescent="0.25">
      <c r="A27" s="97" t="s">
        <v>21</v>
      </c>
      <c r="B27" s="60">
        <v>1238991.08</v>
      </c>
      <c r="C27" s="60">
        <v>1238991.08</v>
      </c>
      <c r="D27" s="100" t="s">
        <v>72</v>
      </c>
      <c r="E27" s="60">
        <f>SUM(E28:E30)</f>
        <v>3</v>
      </c>
      <c r="F27" s="60">
        <f>SUM(F28:F30)</f>
        <v>3</v>
      </c>
    </row>
    <row r="28" spans="1:6" x14ac:dyDescent="0.25">
      <c r="A28" s="97" t="s">
        <v>22</v>
      </c>
      <c r="B28" s="60">
        <v>1</v>
      </c>
      <c r="C28" s="60">
        <v>1</v>
      </c>
      <c r="D28" s="101" t="s">
        <v>73</v>
      </c>
      <c r="E28" s="60">
        <v>1</v>
      </c>
      <c r="F28" s="60">
        <v>1</v>
      </c>
    </row>
    <row r="29" spans="1:6" x14ac:dyDescent="0.25">
      <c r="A29" s="97" t="s">
        <v>23</v>
      </c>
      <c r="B29" s="60">
        <v>38072818.109999999</v>
      </c>
      <c r="C29" s="60">
        <v>19258174.949999999</v>
      </c>
      <c r="D29" s="101" t="s">
        <v>74</v>
      </c>
      <c r="E29" s="60">
        <v>1</v>
      </c>
      <c r="F29" s="60">
        <v>1</v>
      </c>
    </row>
    <row r="30" spans="1:6" x14ac:dyDescent="0.25">
      <c r="A30" s="97" t="s">
        <v>24</v>
      </c>
      <c r="B30" s="60">
        <v>1</v>
      </c>
      <c r="C30" s="60">
        <v>1</v>
      </c>
      <c r="D30" s="101" t="s">
        <v>75</v>
      </c>
      <c r="E30" s="60">
        <v>1</v>
      </c>
      <c r="F30" s="60">
        <v>1</v>
      </c>
    </row>
    <row r="31" spans="1:6" x14ac:dyDescent="0.25">
      <c r="A31" s="95" t="s">
        <v>25</v>
      </c>
      <c r="B31" s="60">
        <f>SUM(B32:B36)</f>
        <v>5</v>
      </c>
      <c r="C31" s="60">
        <f>SUM(C32:C36)</f>
        <v>5</v>
      </c>
      <c r="D31" s="100" t="s">
        <v>76</v>
      </c>
      <c r="E31" s="60">
        <f>SUM(E32:E37)</f>
        <v>6</v>
      </c>
      <c r="F31" s="60">
        <f>SUM(F32:F37)</f>
        <v>6</v>
      </c>
    </row>
    <row r="32" spans="1:6" x14ac:dyDescent="0.25">
      <c r="A32" s="97" t="s">
        <v>26</v>
      </c>
      <c r="B32" s="60">
        <v>1</v>
      </c>
      <c r="C32" s="60">
        <v>1</v>
      </c>
      <c r="D32" s="101" t="s">
        <v>77</v>
      </c>
      <c r="E32" s="60">
        <v>1</v>
      </c>
      <c r="F32" s="60">
        <v>1</v>
      </c>
    </row>
    <row r="33" spans="1:6" x14ac:dyDescent="0.25">
      <c r="A33" s="97" t="s">
        <v>27</v>
      </c>
      <c r="B33" s="60">
        <v>1</v>
      </c>
      <c r="C33" s="60">
        <v>1</v>
      </c>
      <c r="D33" s="101" t="s">
        <v>78</v>
      </c>
      <c r="E33" s="60">
        <v>1</v>
      </c>
      <c r="F33" s="60">
        <v>1</v>
      </c>
    </row>
    <row r="34" spans="1:6" x14ac:dyDescent="0.25">
      <c r="A34" s="97" t="s">
        <v>28</v>
      </c>
      <c r="B34" s="60">
        <v>1</v>
      </c>
      <c r="C34" s="60">
        <v>1</v>
      </c>
      <c r="D34" s="101" t="s">
        <v>79</v>
      </c>
      <c r="E34" s="60">
        <v>1</v>
      </c>
      <c r="F34" s="60">
        <v>1</v>
      </c>
    </row>
    <row r="35" spans="1:6" x14ac:dyDescent="0.25">
      <c r="A35" s="97" t="s">
        <v>29</v>
      </c>
      <c r="B35" s="60">
        <v>1</v>
      </c>
      <c r="C35" s="60">
        <v>1</v>
      </c>
      <c r="D35" s="101" t="s">
        <v>80</v>
      </c>
      <c r="E35" s="60">
        <v>1</v>
      </c>
      <c r="F35" s="60">
        <v>1</v>
      </c>
    </row>
    <row r="36" spans="1:6" x14ac:dyDescent="0.25">
      <c r="A36" s="97" t="s">
        <v>30</v>
      </c>
      <c r="B36" s="60">
        <v>1</v>
      </c>
      <c r="C36" s="60">
        <v>1</v>
      </c>
      <c r="D36" s="101" t="s">
        <v>81</v>
      </c>
      <c r="E36" s="60">
        <v>1</v>
      </c>
      <c r="F36" s="60">
        <v>1</v>
      </c>
    </row>
    <row r="37" spans="1:6" x14ac:dyDescent="0.25">
      <c r="A37" s="95" t="s">
        <v>31</v>
      </c>
      <c r="B37" s="60">
        <v>1</v>
      </c>
      <c r="C37" s="60">
        <v>1</v>
      </c>
      <c r="D37" s="101" t="s">
        <v>82</v>
      </c>
      <c r="E37" s="60">
        <v>1</v>
      </c>
      <c r="F37" s="60">
        <v>1</v>
      </c>
    </row>
    <row r="38" spans="1:6" x14ac:dyDescent="0.25">
      <c r="A38" s="95" t="s">
        <v>119</v>
      </c>
      <c r="B38" s="60">
        <f>SUM(B39:B40)</f>
        <v>2</v>
      </c>
      <c r="C38" s="60">
        <f>SUM(C39:C40)</f>
        <v>2</v>
      </c>
      <c r="D38" s="100" t="s">
        <v>83</v>
      </c>
      <c r="E38" s="60">
        <f>SUM(E39:E41)</f>
        <v>3</v>
      </c>
      <c r="F38" s="60">
        <f>SUM(F39:F41)</f>
        <v>3</v>
      </c>
    </row>
    <row r="39" spans="1:6" x14ac:dyDescent="0.25">
      <c r="A39" s="97" t="s">
        <v>32</v>
      </c>
      <c r="B39" s="60">
        <v>1</v>
      </c>
      <c r="C39" s="60">
        <v>1</v>
      </c>
      <c r="D39" s="101" t="s">
        <v>84</v>
      </c>
      <c r="E39" s="60">
        <v>1</v>
      </c>
      <c r="F39" s="60">
        <v>1</v>
      </c>
    </row>
    <row r="40" spans="1:6" x14ac:dyDescent="0.25">
      <c r="A40" s="97" t="s">
        <v>33</v>
      </c>
      <c r="B40" s="60">
        <v>1</v>
      </c>
      <c r="C40" s="60">
        <v>1</v>
      </c>
      <c r="D40" s="101" t="s">
        <v>85</v>
      </c>
      <c r="E40" s="60">
        <v>1</v>
      </c>
      <c r="F40" s="60">
        <v>1</v>
      </c>
    </row>
    <row r="41" spans="1:6" x14ac:dyDescent="0.25">
      <c r="A41" s="95" t="s">
        <v>34</v>
      </c>
      <c r="B41" s="60">
        <f>SUM(B42:B45)</f>
        <v>4</v>
      </c>
      <c r="C41" s="60">
        <f>SUM(C42:C45)</f>
        <v>4</v>
      </c>
      <c r="D41" s="101" t="s">
        <v>86</v>
      </c>
      <c r="E41" s="60">
        <v>1</v>
      </c>
      <c r="F41" s="60">
        <v>1</v>
      </c>
    </row>
    <row r="42" spans="1:6" x14ac:dyDescent="0.25">
      <c r="A42" s="97" t="s">
        <v>35</v>
      </c>
      <c r="B42" s="60">
        <v>1</v>
      </c>
      <c r="C42" s="60">
        <v>1</v>
      </c>
      <c r="D42" s="100" t="s">
        <v>87</v>
      </c>
      <c r="E42" s="60">
        <f>SUM(E43:E45)</f>
        <v>3</v>
      </c>
      <c r="F42" s="60">
        <f>SUM(F43:F45)</f>
        <v>3</v>
      </c>
    </row>
    <row r="43" spans="1:6" x14ac:dyDescent="0.25">
      <c r="A43" s="97" t="s">
        <v>36</v>
      </c>
      <c r="B43" s="60">
        <v>1</v>
      </c>
      <c r="C43" s="60">
        <v>1</v>
      </c>
      <c r="D43" s="101" t="s">
        <v>88</v>
      </c>
      <c r="E43" s="60">
        <v>1</v>
      </c>
      <c r="F43" s="60">
        <v>1</v>
      </c>
    </row>
    <row r="44" spans="1:6" x14ac:dyDescent="0.25">
      <c r="A44" s="97" t="s">
        <v>37</v>
      </c>
      <c r="B44" s="60">
        <v>1</v>
      </c>
      <c r="C44" s="60">
        <v>1</v>
      </c>
      <c r="D44" s="101" t="s">
        <v>89</v>
      </c>
      <c r="E44" s="60">
        <v>1</v>
      </c>
      <c r="F44" s="60">
        <v>1</v>
      </c>
    </row>
    <row r="45" spans="1:6" x14ac:dyDescent="0.25">
      <c r="A45" s="97" t="s">
        <v>38</v>
      </c>
      <c r="B45" s="60">
        <v>1</v>
      </c>
      <c r="C45" s="60">
        <v>1</v>
      </c>
      <c r="D45" s="101" t="s">
        <v>90</v>
      </c>
      <c r="E45" s="60">
        <v>1</v>
      </c>
      <c r="F45" s="60">
        <v>1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150270568.36000001</v>
      </c>
      <c r="C47" s="61">
        <f>C9+C17+C25+C31+C38+C41</f>
        <v>135625306.07999998</v>
      </c>
      <c r="D47" s="99" t="s">
        <v>91</v>
      </c>
      <c r="E47" s="61">
        <f>E9+E19+E23+E26+E27+E31+E38+E42</f>
        <v>25779940.949999996</v>
      </c>
      <c r="F47" s="61">
        <f>F9+F19+F23+F26+F27+F31+F38+F42</f>
        <v>20585140.09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1</v>
      </c>
      <c r="C50" s="60">
        <v>1</v>
      </c>
      <c r="D50" s="100" t="s">
        <v>93</v>
      </c>
      <c r="E50" s="60">
        <v>73565942.670000002</v>
      </c>
      <c r="F50" s="60">
        <v>73565942.670000002</v>
      </c>
    </row>
    <row r="51" spans="1:6" x14ac:dyDescent="0.25">
      <c r="A51" s="95" t="s">
        <v>42</v>
      </c>
      <c r="B51" s="60">
        <v>1</v>
      </c>
      <c r="C51" s="60">
        <v>1</v>
      </c>
      <c r="D51" s="100" t="s">
        <v>94</v>
      </c>
      <c r="E51" s="60">
        <v>337373</v>
      </c>
      <c r="F51" s="60">
        <v>1</v>
      </c>
    </row>
    <row r="52" spans="1:6" x14ac:dyDescent="0.25">
      <c r="A52" s="95" t="s">
        <v>43</v>
      </c>
      <c r="B52" s="60">
        <v>540675456.25999999</v>
      </c>
      <c r="C52" s="60">
        <v>452569485.81</v>
      </c>
      <c r="D52" s="100" t="s">
        <v>95</v>
      </c>
      <c r="E52" s="60">
        <v>1</v>
      </c>
      <c r="F52" s="60">
        <v>1</v>
      </c>
    </row>
    <row r="53" spans="1:6" x14ac:dyDescent="0.25">
      <c r="A53" s="95" t="s">
        <v>44</v>
      </c>
      <c r="B53" s="60">
        <v>50748763.170000002</v>
      </c>
      <c r="C53" s="60">
        <v>37861367.619999997</v>
      </c>
      <c r="D53" s="100" t="s">
        <v>96</v>
      </c>
      <c r="E53" s="60">
        <v>1</v>
      </c>
      <c r="F53" s="60">
        <v>1</v>
      </c>
    </row>
    <row r="54" spans="1:6" x14ac:dyDescent="0.25">
      <c r="A54" s="95" t="s">
        <v>45</v>
      </c>
      <c r="B54" s="60">
        <v>1063854.43</v>
      </c>
      <c r="C54" s="60">
        <v>1268315.67</v>
      </c>
      <c r="D54" s="100" t="s">
        <v>97</v>
      </c>
      <c r="E54" s="60">
        <v>1</v>
      </c>
      <c r="F54" s="60">
        <v>1</v>
      </c>
    </row>
    <row r="55" spans="1:6" x14ac:dyDescent="0.25">
      <c r="A55" s="95" t="s">
        <v>46</v>
      </c>
      <c r="B55" s="60">
        <v>-29324929.449999999</v>
      </c>
      <c r="C55" s="60">
        <v>-21832545.379999999</v>
      </c>
      <c r="D55" s="37" t="s">
        <v>98</v>
      </c>
      <c r="E55" s="60">
        <v>1</v>
      </c>
      <c r="F55" s="60">
        <v>1</v>
      </c>
    </row>
    <row r="56" spans="1:6" x14ac:dyDescent="0.25">
      <c r="A56" s="95" t="s">
        <v>47</v>
      </c>
      <c r="B56" s="60">
        <v>41621.93</v>
      </c>
      <c r="C56" s="60">
        <v>41621.93</v>
      </c>
      <c r="D56" s="54"/>
      <c r="E56" s="54"/>
      <c r="F56" s="54"/>
    </row>
    <row r="57" spans="1:6" x14ac:dyDescent="0.25">
      <c r="A57" s="95" t="s">
        <v>48</v>
      </c>
      <c r="B57" s="60">
        <v>1</v>
      </c>
      <c r="C57" s="60">
        <v>1</v>
      </c>
      <c r="D57" s="99" t="s">
        <v>99</v>
      </c>
      <c r="E57" s="61">
        <f>SUM(E50:E55)</f>
        <v>73903319.670000002</v>
      </c>
      <c r="F57" s="61">
        <f>SUM(F50:F55)</f>
        <v>73565947.670000002</v>
      </c>
    </row>
    <row r="58" spans="1:6" x14ac:dyDescent="0.25">
      <c r="A58" s="95" t="s">
        <v>49</v>
      </c>
      <c r="B58" s="60">
        <v>1</v>
      </c>
      <c r="C58" s="60">
        <v>1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99683260.620000005</v>
      </c>
      <c r="F59" s="61">
        <f>F47+F57</f>
        <v>94151087.760000005</v>
      </c>
    </row>
    <row r="60" spans="1:6" x14ac:dyDescent="0.25">
      <c r="A60" s="55" t="s">
        <v>50</v>
      </c>
      <c r="B60" s="61">
        <f>SUM(B50:B58)</f>
        <v>563204770.33999979</v>
      </c>
      <c r="C60" s="61">
        <f>SUM(C50:C58)</f>
        <v>469908249.65000004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713475338.69999981</v>
      </c>
      <c r="C62" s="61">
        <f>SUM(C47+C60)</f>
        <v>605533555.73000002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3</v>
      </c>
      <c r="F63" s="77">
        <f>SUM(F64:F66)</f>
        <v>3</v>
      </c>
    </row>
    <row r="64" spans="1:6" x14ac:dyDescent="0.25">
      <c r="A64" s="54"/>
      <c r="B64" s="54"/>
      <c r="C64" s="54"/>
      <c r="D64" s="103" t="s">
        <v>103</v>
      </c>
      <c r="E64" s="77">
        <v>1</v>
      </c>
      <c r="F64" s="77">
        <v>1</v>
      </c>
    </row>
    <row r="65" spans="1:6" x14ac:dyDescent="0.25">
      <c r="A65" s="54"/>
      <c r="B65" s="54"/>
      <c r="C65" s="54"/>
      <c r="D65" s="41" t="s">
        <v>104</v>
      </c>
      <c r="E65" s="77">
        <v>1</v>
      </c>
      <c r="F65" s="77">
        <v>1</v>
      </c>
    </row>
    <row r="66" spans="1:6" x14ac:dyDescent="0.25">
      <c r="A66" s="54"/>
      <c r="B66" s="54"/>
      <c r="C66" s="54"/>
      <c r="D66" s="103" t="s">
        <v>105</v>
      </c>
      <c r="E66" s="77">
        <v>1</v>
      </c>
      <c r="F66" s="77">
        <v>1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613750642.58000004</v>
      </c>
      <c r="F68" s="77">
        <f>SUM(F69:F73)</f>
        <v>511381777.97000003</v>
      </c>
    </row>
    <row r="69" spans="1:6" x14ac:dyDescent="0.25">
      <c r="A69" s="12"/>
      <c r="B69" s="54"/>
      <c r="C69" s="54"/>
      <c r="D69" s="103" t="s">
        <v>107</v>
      </c>
      <c r="E69" s="77">
        <v>147457834.53999999</v>
      </c>
      <c r="F69" s="77">
        <v>127109930.68000001</v>
      </c>
    </row>
    <row r="70" spans="1:6" x14ac:dyDescent="0.25">
      <c r="A70" s="12"/>
      <c r="B70" s="54"/>
      <c r="C70" s="54"/>
      <c r="D70" s="103" t="s">
        <v>108</v>
      </c>
      <c r="E70" s="77">
        <v>466292805.04000002</v>
      </c>
      <c r="F70" s="77">
        <v>384271844.29000002</v>
      </c>
    </row>
    <row r="71" spans="1:6" x14ac:dyDescent="0.25">
      <c r="A71" s="12"/>
      <c r="B71" s="54"/>
      <c r="C71" s="54"/>
      <c r="D71" s="103" t="s">
        <v>109</v>
      </c>
      <c r="E71" s="77">
        <v>1</v>
      </c>
      <c r="F71" s="77">
        <v>1</v>
      </c>
    </row>
    <row r="72" spans="1:6" x14ac:dyDescent="0.25">
      <c r="A72" s="12"/>
      <c r="B72" s="54"/>
      <c r="C72" s="54"/>
      <c r="D72" s="103" t="s">
        <v>110</v>
      </c>
      <c r="E72" s="77">
        <v>1</v>
      </c>
      <c r="F72" s="77">
        <v>1</v>
      </c>
    </row>
    <row r="73" spans="1:6" x14ac:dyDescent="0.25">
      <c r="A73" s="12"/>
      <c r="B73" s="54"/>
      <c r="C73" s="54"/>
      <c r="D73" s="103" t="s">
        <v>111</v>
      </c>
      <c r="E73" s="77">
        <v>1</v>
      </c>
      <c r="F73" s="77">
        <v>1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2</v>
      </c>
      <c r="F75" s="77">
        <f>F76+F77</f>
        <v>2</v>
      </c>
    </row>
    <row r="76" spans="1:6" x14ac:dyDescent="0.25">
      <c r="A76" s="12"/>
      <c r="B76" s="54"/>
      <c r="C76" s="54"/>
      <c r="D76" s="100" t="s">
        <v>113</v>
      </c>
      <c r="E76" s="60">
        <v>1</v>
      </c>
      <c r="F76" s="60">
        <v>1</v>
      </c>
    </row>
    <row r="77" spans="1:6" x14ac:dyDescent="0.25">
      <c r="A77" s="12"/>
      <c r="B77" s="54"/>
      <c r="C77" s="54"/>
      <c r="D77" s="100" t="s">
        <v>114</v>
      </c>
      <c r="E77" s="60">
        <v>1</v>
      </c>
      <c r="F77" s="60">
        <v>1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613750647.58000004</v>
      </c>
      <c r="F79" s="61">
        <f>F63+F68+F75</f>
        <v>511381782.97000003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713433908.20000005</v>
      </c>
      <c r="F81" s="61">
        <f>F59+F79</f>
        <v>605532870.73000002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104918454.85000001</v>
      </c>
      <c r="Q4" s="18">
        <f>'Formato 1'!C9</f>
        <v>100639591.34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1</v>
      </c>
      <c r="Q5" s="18">
        <f>'Formato 1'!C10</f>
        <v>1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34044688.270000003</v>
      </c>
      <c r="Q6" s="18">
        <f>'Formato 1'!C11</f>
        <v>30774595.059999999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1</v>
      </c>
      <c r="Q7" s="18">
        <f>'Formato 1'!C12</f>
        <v>1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53382036.530000001</v>
      </c>
      <c r="Q8" s="18">
        <f>'Formato 1'!C13</f>
        <v>59081303.210000001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17491730.050000001</v>
      </c>
      <c r="Q9" s="18">
        <f>'Formato 1'!C14</f>
        <v>10783693.07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1</v>
      </c>
      <c r="Q10" s="18">
        <f>'Formato 1'!C15</f>
        <v>1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1</v>
      </c>
      <c r="Q11" s="18">
        <f>'Formato 1'!C16</f>
        <v>1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5329866.93</v>
      </c>
      <c r="Q12" s="18">
        <f>'Formato 1'!C17</f>
        <v>13110665.82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1</v>
      </c>
      <c r="Q13" s="18">
        <f>'Formato 1'!C18</f>
        <v>1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17017.64</v>
      </c>
      <c r="Q14" s="18">
        <f>'Formato 1'!C19</f>
        <v>21750.43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4034845.9</v>
      </c>
      <c r="Q15" s="18">
        <f>'Formato 1'!C20</f>
        <v>4038079.9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1</v>
      </c>
      <c r="Q16" s="18">
        <f>'Formato 1'!C21</f>
        <v>1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1</v>
      </c>
      <c r="Q17" s="18">
        <f>'Formato 1'!C22</f>
        <v>1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1</v>
      </c>
      <c r="Q18" s="18">
        <f>'Formato 1'!C23</f>
        <v>1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1277999.3899999999</v>
      </c>
      <c r="Q19" s="18">
        <f>'Formato 1'!C24</f>
        <v>9050831.4900000002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40022235.579999998</v>
      </c>
      <c r="Q20" s="18">
        <f>'Formato 1'!C25</f>
        <v>21875037.919999998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710426.39</v>
      </c>
      <c r="Q21" s="18">
        <f>'Formato 1'!C26</f>
        <v>1377871.89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1238991.08</v>
      </c>
      <c r="Q22" s="18">
        <f>'Formato 1'!C27</f>
        <v>1238991.08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1</v>
      </c>
      <c r="Q23" s="18">
        <f>'Formato 1'!C28</f>
        <v>1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38072818.109999999</v>
      </c>
      <c r="Q24" s="18">
        <f>'Formato 1'!C29</f>
        <v>19258174.949999999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1</v>
      </c>
      <c r="Q25" s="18">
        <f>'Formato 1'!C30</f>
        <v>1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5</v>
      </c>
      <c r="Q26" s="18">
        <f>'Formato 1'!C31</f>
        <v>5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1</v>
      </c>
      <c r="Q27" s="18">
        <f>'Formato 1'!C32</f>
        <v>1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1</v>
      </c>
      <c r="Q28" s="18">
        <f>'Formato 1'!C33</f>
        <v>1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1</v>
      </c>
      <c r="Q29" s="18">
        <f>'Formato 1'!C34</f>
        <v>1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1</v>
      </c>
      <c r="Q30" s="18">
        <f>'Formato 1'!C35</f>
        <v>1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1</v>
      </c>
      <c r="Q31" s="18">
        <f>'Formato 1'!C36</f>
        <v>1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1</v>
      </c>
      <c r="Q32" s="18">
        <f>'Formato 1'!C37</f>
        <v>1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1</v>
      </c>
      <c r="Q33" s="18">
        <f>'Formato 1'!C37</f>
        <v>1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2</v>
      </c>
      <c r="Q34" s="18">
        <f>'Formato 1'!C38</f>
        <v>2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1</v>
      </c>
      <c r="Q35" s="18">
        <f>'Formato 1'!C39</f>
        <v>1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1</v>
      </c>
      <c r="Q36" s="18">
        <f>'Formato 1'!C40</f>
        <v>1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4</v>
      </c>
      <c r="Q37" s="18">
        <f>'Formato 1'!C41</f>
        <v>4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1</v>
      </c>
      <c r="Q38" s="18">
        <f>'Formato 1'!C42</f>
        <v>1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1</v>
      </c>
      <c r="Q39" s="18">
        <f>'Formato 1'!C43</f>
        <v>1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1</v>
      </c>
      <c r="Q40" s="18">
        <f>'Formato 1'!C44</f>
        <v>1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1</v>
      </c>
      <c r="Q41" s="18">
        <f>'Formato 1'!C45</f>
        <v>1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150270568.36000001</v>
      </c>
      <c r="Q42" s="18">
        <f>'Formato 1'!C47</f>
        <v>135625306.07999998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1</v>
      </c>
      <c r="Q44">
        <f>'Formato 1'!C50</f>
        <v>1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1</v>
      </c>
      <c r="Q45">
        <f>'Formato 1'!C51</f>
        <v>1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540675456.25999999</v>
      </c>
      <c r="Q46">
        <f>'Formato 1'!C52</f>
        <v>452569485.81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50748763.170000002</v>
      </c>
      <c r="Q47">
        <f>'Formato 1'!C53</f>
        <v>37861367.619999997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1063854.43</v>
      </c>
      <c r="Q48">
        <f>'Formato 1'!C54</f>
        <v>1268315.67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-29324929.449999999</v>
      </c>
      <c r="Q49">
        <f>'Formato 1'!C55</f>
        <v>-21832545.379999999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41621.93</v>
      </c>
      <c r="Q50">
        <f>'Formato 1'!C56</f>
        <v>41621.93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1</v>
      </c>
      <c r="Q51">
        <f>'Formato 1'!C57</f>
        <v>1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1</v>
      </c>
      <c r="Q52">
        <f>'Formato 1'!C58</f>
        <v>1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563204770.33999979</v>
      </c>
      <c r="Q53">
        <f>'Formato 1'!C60</f>
        <v>469908249.65000004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713475338.69999981</v>
      </c>
      <c r="Q54">
        <f>'Formato 1'!C62</f>
        <v>605533555.73000002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25779919.949999996</v>
      </c>
      <c r="Q57">
        <f>'Formato 1'!F9</f>
        <v>20585119.09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2002915.23</v>
      </c>
      <c r="Q58">
        <f>'Formato 1'!F10</f>
        <v>1967368.93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2756516.07</v>
      </c>
      <c r="Q59">
        <f>'Formato 1'!F11</f>
        <v>2067014.23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13504411.35</v>
      </c>
      <c r="Q60">
        <f>'Formato 1'!F12</f>
        <v>8788537.2200000007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1</v>
      </c>
      <c r="Q61">
        <f>'Formato 1'!F13</f>
        <v>523735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5009461.3899999997</v>
      </c>
      <c r="Q62">
        <f>'Formato 1'!F14</f>
        <v>1123499.8400000001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1</v>
      </c>
      <c r="Q63">
        <f>'Formato 1'!F15</f>
        <v>1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2210006.5099999998</v>
      </c>
      <c r="Q64">
        <f>'Formato 1'!F16</f>
        <v>1827003.53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1</v>
      </c>
      <c r="Q65">
        <f>'Formato 1'!F17</f>
        <v>1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296609.40000000002</v>
      </c>
      <c r="Q66">
        <f>'Formato 1'!F18</f>
        <v>4287960.34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3</v>
      </c>
      <c r="Q67">
        <f>'Formato 1'!F19</f>
        <v>3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1</v>
      </c>
      <c r="Q68">
        <f>'Formato 1'!F20</f>
        <v>1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1</v>
      </c>
      <c r="Q69">
        <f>'Formato 1'!F21</f>
        <v>1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1</v>
      </c>
      <c r="Q70">
        <f>'Formato 1'!F22</f>
        <v>1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2</v>
      </c>
      <c r="Q71">
        <f>'Formato 1'!F23</f>
        <v>2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1</v>
      </c>
      <c r="Q72">
        <f>'Formato 1'!F24</f>
        <v>1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1</v>
      </c>
      <c r="Q73">
        <f>'Formato 1'!F25</f>
        <v>1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1</v>
      </c>
      <c r="Q74">
        <f>'Formato 1'!F26</f>
        <v>1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1</v>
      </c>
      <c r="Q75">
        <f>'Formato 1'!F26</f>
        <v>1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3</v>
      </c>
      <c r="Q76">
        <f>'Formato 1'!F27</f>
        <v>3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1</v>
      </c>
      <c r="Q77">
        <f>'Formato 1'!F28</f>
        <v>1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1</v>
      </c>
      <c r="Q78">
        <f>'Formato 1'!F29</f>
        <v>1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1</v>
      </c>
      <c r="Q79">
        <f>'Formato 1'!F30</f>
        <v>1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6</v>
      </c>
      <c r="Q80">
        <f>'Formato 1'!F31</f>
        <v>6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1</v>
      </c>
      <c r="Q81">
        <f>'Formato 1'!F32</f>
        <v>1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1</v>
      </c>
      <c r="Q82">
        <f>'Formato 1'!F33</f>
        <v>1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1</v>
      </c>
      <c r="Q83">
        <f>'Formato 1'!F34</f>
        <v>1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1</v>
      </c>
      <c r="Q84">
        <f>'Formato 1'!F35</f>
        <v>1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1</v>
      </c>
      <c r="Q85">
        <f>'Formato 1'!F36</f>
        <v>1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1</v>
      </c>
      <c r="Q86">
        <f>'Formato 1'!F37</f>
        <v>1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3</v>
      </c>
      <c r="Q87">
        <f>'Formato 1'!F38</f>
        <v>3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1</v>
      </c>
      <c r="Q88">
        <f>'Formato 1'!F39</f>
        <v>1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1</v>
      </c>
      <c r="Q89">
        <f>'Formato 1'!F40</f>
        <v>1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1</v>
      </c>
      <c r="Q90">
        <f>'Formato 1'!F41</f>
        <v>1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3</v>
      </c>
      <c r="Q91">
        <f>'Formato 1'!F42</f>
        <v>3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1</v>
      </c>
      <c r="Q92">
        <f>'Formato 1'!F43</f>
        <v>1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1</v>
      </c>
      <c r="Q93">
        <f>'Formato 1'!F44</f>
        <v>1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1</v>
      </c>
      <c r="Q94">
        <f>'Formato 1'!F45</f>
        <v>1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25779940.949999996</v>
      </c>
      <c r="Q95">
        <f>'Formato 1'!F47</f>
        <v>20585140.09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73565942.670000002</v>
      </c>
      <c r="Q97">
        <f>'Formato 1'!F50</f>
        <v>73565942.670000002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337373</v>
      </c>
      <c r="Q98">
        <f>'Formato 1'!F51</f>
        <v>1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1</v>
      </c>
      <c r="Q99">
        <f>'Formato 1'!F52</f>
        <v>1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1</v>
      </c>
      <c r="Q100">
        <f>'Formato 1'!F53</f>
        <v>1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1</v>
      </c>
      <c r="Q101">
        <f>'Formato 1'!F54</f>
        <v>1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1</v>
      </c>
      <c r="Q102">
        <f>'Formato 1'!F55</f>
        <v>1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73903319.670000002</v>
      </c>
      <c r="Q103">
        <f>'Formato 1'!F57</f>
        <v>73565947.670000002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99683260.620000005</v>
      </c>
      <c r="Q104">
        <f>'Formato 1'!F59</f>
        <v>94151087.760000005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3</v>
      </c>
      <c r="Q106">
        <f>'Formato 1'!F63</f>
        <v>3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</v>
      </c>
      <c r="Q107">
        <f>'Formato 1'!F64</f>
        <v>1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1</v>
      </c>
      <c r="Q108">
        <f>'Formato 1'!F65</f>
        <v>1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1</v>
      </c>
      <c r="Q109">
        <f>'Formato 1'!F66</f>
        <v>1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613750642.58000004</v>
      </c>
      <c r="Q110">
        <f>'Formato 1'!F68</f>
        <v>511381777.97000003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147457834.53999999</v>
      </c>
      <c r="Q111">
        <f>'Formato 1'!F69</f>
        <v>127109930.68000001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466292805.04000002</v>
      </c>
      <c r="Q112">
        <f>'Formato 1'!F70</f>
        <v>384271844.29000002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1</v>
      </c>
      <c r="Q113">
        <f>'Formato 1'!F71</f>
        <v>1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1</v>
      </c>
      <c r="Q114">
        <f>'Formato 1'!F72</f>
        <v>1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1</v>
      </c>
      <c r="Q115">
        <f>'Formato 1'!F73</f>
        <v>1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2</v>
      </c>
      <c r="Q116">
        <f>'Formato 1'!F75</f>
        <v>2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1</v>
      </c>
      <c r="Q117">
        <f>'Formato 1'!F76</f>
        <v>1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1</v>
      </c>
      <c r="Q118">
        <f>'Formato 1'!F77</f>
        <v>1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613750647.58000004</v>
      </c>
      <c r="Q119">
        <f>'Formato 1'!F79</f>
        <v>511381782.97000003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713433908.20000005</v>
      </c>
      <c r="Q120">
        <f>'Formato 1'!F81</f>
        <v>605532870.73000002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abSelected="1" zoomScale="90" zoomScaleNormal="90" workbookViewId="0">
      <selection activeCell="A17" sqref="A17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72" t="s">
        <v>544</v>
      </c>
      <c r="B1" s="172"/>
      <c r="C1" s="172"/>
      <c r="D1" s="172"/>
      <c r="E1" s="172"/>
      <c r="F1" s="172"/>
      <c r="G1" s="172"/>
      <c r="H1" s="172"/>
    </row>
    <row r="2" spans="1:9" ht="14.25" x14ac:dyDescent="0.45">
      <c r="A2" s="158" t="str">
        <f>ENTE_PUBLICO_A</f>
        <v>ORGANISMO, Gobierno del Estado de Guanajuato (a)</v>
      </c>
      <c r="B2" s="159"/>
      <c r="C2" s="159"/>
      <c r="D2" s="159"/>
      <c r="E2" s="159"/>
      <c r="F2" s="159"/>
      <c r="G2" s="159"/>
      <c r="H2" s="160"/>
    </row>
    <row r="3" spans="1:9" x14ac:dyDescent="0.25">
      <c r="A3" s="161" t="s">
        <v>120</v>
      </c>
      <c r="B3" s="162"/>
      <c r="C3" s="162"/>
      <c r="D3" s="162"/>
      <c r="E3" s="162"/>
      <c r="F3" s="162"/>
      <c r="G3" s="162"/>
      <c r="H3" s="163"/>
    </row>
    <row r="4" spans="1:9" ht="14.25" x14ac:dyDescent="0.45">
      <c r="A4" s="164" t="str">
        <f>PERIODO_INFORME</f>
        <v>Al 31 de diciembre de 2016 y al 31 de diciembre de 2017 (b)</v>
      </c>
      <c r="B4" s="165"/>
      <c r="C4" s="165"/>
      <c r="D4" s="165"/>
      <c r="E4" s="165"/>
      <c r="F4" s="165"/>
      <c r="G4" s="165"/>
      <c r="H4" s="166"/>
    </row>
    <row r="5" spans="1:9" ht="14.25" x14ac:dyDescent="0.45">
      <c r="A5" s="167" t="s">
        <v>118</v>
      </c>
      <c r="B5" s="168"/>
      <c r="C5" s="168"/>
      <c r="D5" s="168"/>
      <c r="E5" s="168"/>
      <c r="F5" s="168"/>
      <c r="G5" s="168"/>
      <c r="H5" s="169"/>
    </row>
    <row r="6" spans="1:9" ht="45" x14ac:dyDescent="0.25">
      <c r="A6" s="104" t="s">
        <v>121</v>
      </c>
      <c r="B6" s="105" t="str">
        <f>ULTIMO_SALDO</f>
        <v>Saldo al 31 de diciembre de 2016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6</v>
      </c>
      <c r="C8" s="61">
        <f t="shared" ref="C8:H8" si="0">C9+C13</f>
        <v>6</v>
      </c>
      <c r="D8" s="61">
        <f t="shared" si="0"/>
        <v>6</v>
      </c>
      <c r="E8" s="61">
        <f t="shared" si="0"/>
        <v>6</v>
      </c>
      <c r="F8" s="61">
        <f t="shared" si="0"/>
        <v>6</v>
      </c>
      <c r="G8" s="61">
        <f t="shared" si="0"/>
        <v>6</v>
      </c>
      <c r="H8" s="61">
        <f t="shared" si="0"/>
        <v>6</v>
      </c>
    </row>
    <row r="9" spans="1:9" ht="14.25" x14ac:dyDescent="0.45">
      <c r="A9" s="107" t="s">
        <v>128</v>
      </c>
      <c r="B9" s="60">
        <f>SUM(B10:B12)</f>
        <v>3</v>
      </c>
      <c r="C9" s="60">
        <f t="shared" ref="C9:H9" si="1">SUM(C10:C12)</f>
        <v>3</v>
      </c>
      <c r="D9" s="60">
        <f t="shared" si="1"/>
        <v>3</v>
      </c>
      <c r="E9" s="60">
        <f t="shared" si="1"/>
        <v>3</v>
      </c>
      <c r="F9" s="60">
        <f t="shared" si="1"/>
        <v>3</v>
      </c>
      <c r="G9" s="60">
        <f t="shared" si="1"/>
        <v>3</v>
      </c>
      <c r="H9" s="60">
        <f t="shared" si="1"/>
        <v>3</v>
      </c>
    </row>
    <row r="10" spans="1:9" x14ac:dyDescent="0.25">
      <c r="A10" s="108" t="s">
        <v>129</v>
      </c>
      <c r="B10" s="60">
        <v>1</v>
      </c>
      <c r="C10" s="60">
        <v>1</v>
      </c>
      <c r="D10" s="60">
        <v>1</v>
      </c>
      <c r="E10" s="60">
        <v>1</v>
      </c>
      <c r="F10" s="60">
        <v>1</v>
      </c>
      <c r="G10" s="60">
        <v>1</v>
      </c>
      <c r="H10" s="60">
        <v>1</v>
      </c>
    </row>
    <row r="11" spans="1:9" x14ac:dyDescent="0.25">
      <c r="A11" s="108" t="s">
        <v>130</v>
      </c>
      <c r="B11" s="60">
        <v>1</v>
      </c>
      <c r="C11" s="60">
        <v>1</v>
      </c>
      <c r="D11" s="60">
        <v>1</v>
      </c>
      <c r="E11" s="60">
        <v>1</v>
      </c>
      <c r="F11" s="60">
        <v>1</v>
      </c>
      <c r="G11" s="60">
        <v>1</v>
      </c>
      <c r="H11" s="60">
        <v>1</v>
      </c>
    </row>
    <row r="12" spans="1:9" ht="14.25" x14ac:dyDescent="0.45">
      <c r="A12" s="108" t="s">
        <v>131</v>
      </c>
      <c r="B12" s="60">
        <v>1</v>
      </c>
      <c r="C12" s="60">
        <v>1</v>
      </c>
      <c r="D12" s="60">
        <v>1</v>
      </c>
      <c r="E12" s="60">
        <v>1</v>
      </c>
      <c r="F12" s="60">
        <v>1</v>
      </c>
      <c r="G12" s="60">
        <v>1</v>
      </c>
      <c r="H12" s="60">
        <v>1</v>
      </c>
    </row>
    <row r="13" spans="1:9" ht="14.25" x14ac:dyDescent="0.45">
      <c r="A13" s="107" t="s">
        <v>132</v>
      </c>
      <c r="B13" s="60">
        <f>SUM(B14:B16)</f>
        <v>3</v>
      </c>
      <c r="C13" s="60">
        <f t="shared" ref="C13:H13" si="2">SUM(C14:C16)</f>
        <v>3</v>
      </c>
      <c r="D13" s="60">
        <f t="shared" si="2"/>
        <v>3</v>
      </c>
      <c r="E13" s="60">
        <f t="shared" si="2"/>
        <v>3</v>
      </c>
      <c r="F13" s="60">
        <f t="shared" si="2"/>
        <v>3</v>
      </c>
      <c r="G13" s="60">
        <f t="shared" si="2"/>
        <v>3</v>
      </c>
      <c r="H13" s="60">
        <f t="shared" si="2"/>
        <v>3</v>
      </c>
    </row>
    <row r="14" spans="1:9" x14ac:dyDescent="0.25">
      <c r="A14" s="108" t="s">
        <v>133</v>
      </c>
      <c r="B14" s="60">
        <v>1</v>
      </c>
      <c r="C14" s="60">
        <v>1</v>
      </c>
      <c r="D14" s="60">
        <v>1</v>
      </c>
      <c r="E14" s="60">
        <v>1</v>
      </c>
      <c r="F14" s="60">
        <v>1</v>
      </c>
      <c r="G14" s="60">
        <v>1</v>
      </c>
      <c r="H14" s="60">
        <v>1</v>
      </c>
    </row>
    <row r="15" spans="1:9" x14ac:dyDescent="0.25">
      <c r="A15" s="108" t="s">
        <v>134</v>
      </c>
      <c r="B15" s="60">
        <v>1</v>
      </c>
      <c r="C15" s="60">
        <v>1</v>
      </c>
      <c r="D15" s="60">
        <v>1</v>
      </c>
      <c r="E15" s="60">
        <v>1</v>
      </c>
      <c r="F15" s="60">
        <v>1</v>
      </c>
      <c r="G15" s="60">
        <v>1</v>
      </c>
      <c r="H15" s="60">
        <v>1</v>
      </c>
    </row>
    <row r="16" spans="1:9" ht="14.25" x14ac:dyDescent="0.45">
      <c r="A16" s="108" t="s">
        <v>135</v>
      </c>
      <c r="B16" s="60">
        <v>1</v>
      </c>
      <c r="C16" s="60">
        <v>1</v>
      </c>
      <c r="D16" s="60">
        <v>1</v>
      </c>
      <c r="E16" s="60">
        <v>1</v>
      </c>
      <c r="F16" s="60">
        <v>1</v>
      </c>
      <c r="G16" s="60">
        <v>1</v>
      </c>
      <c r="H16" s="60">
        <v>1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1</v>
      </c>
      <c r="C18" s="131"/>
      <c r="D18" s="131"/>
      <c r="E18" s="131"/>
      <c r="F18" s="61">
        <v>1</v>
      </c>
      <c r="G18" s="131"/>
      <c r="H18" s="131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7</v>
      </c>
      <c r="C20" s="61">
        <f t="shared" ref="C20:H20" si="3">C8+C18</f>
        <v>6</v>
      </c>
      <c r="D20" s="61">
        <f t="shared" si="3"/>
        <v>6</v>
      </c>
      <c r="E20" s="61">
        <f t="shared" si="3"/>
        <v>6</v>
      </c>
      <c r="F20" s="61">
        <f t="shared" si="3"/>
        <v>7</v>
      </c>
      <c r="G20" s="61">
        <f t="shared" si="3"/>
        <v>6</v>
      </c>
      <c r="H20" s="61">
        <f t="shared" si="3"/>
        <v>6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3297</v>
      </c>
      <c r="B22" s="61">
        <f>SUM(B23:DEUDA_CONT_FIN_01)</f>
        <v>3</v>
      </c>
      <c r="C22" s="61">
        <f>SUM(C23:DEUDA_CONT_FIN_02)</f>
        <v>3</v>
      </c>
      <c r="D22" s="61">
        <f>SUM(D23:DEUDA_CONT_FIN_03)</f>
        <v>3</v>
      </c>
      <c r="E22" s="61">
        <f>SUM(E23:DEUDA_CONT_FIN_04)</f>
        <v>3</v>
      </c>
      <c r="F22" s="61">
        <f>SUM(F23:DEUDA_CONT_FIN_05)</f>
        <v>3</v>
      </c>
      <c r="G22" s="61">
        <f>SUM(G23:DEUDA_CONT_FIN_06)</f>
        <v>3</v>
      </c>
      <c r="H22" s="61">
        <f>SUM(H23:DEUDA_CONT_FIN_07)</f>
        <v>3</v>
      </c>
    </row>
    <row r="23" spans="1:8" s="24" customFormat="1" ht="14.25" x14ac:dyDescent="0.45">
      <c r="A23" s="109" t="s">
        <v>442</v>
      </c>
      <c r="B23" s="60">
        <v>1</v>
      </c>
      <c r="C23" s="60">
        <v>1</v>
      </c>
      <c r="D23" s="60">
        <v>1</v>
      </c>
      <c r="E23" s="60">
        <v>1</v>
      </c>
      <c r="F23" s="60">
        <v>1</v>
      </c>
      <c r="G23" s="60">
        <v>1</v>
      </c>
      <c r="H23" s="60">
        <v>1</v>
      </c>
    </row>
    <row r="24" spans="1:8" s="24" customFormat="1" ht="14.25" x14ac:dyDescent="0.45">
      <c r="A24" s="109" t="s">
        <v>443</v>
      </c>
      <c r="B24" s="60">
        <v>1</v>
      </c>
      <c r="C24" s="60">
        <v>1</v>
      </c>
      <c r="D24" s="60">
        <v>1</v>
      </c>
      <c r="E24" s="60">
        <v>1</v>
      </c>
      <c r="F24" s="60">
        <v>1</v>
      </c>
      <c r="G24" s="60">
        <v>1</v>
      </c>
      <c r="H24" s="60">
        <v>1</v>
      </c>
    </row>
    <row r="25" spans="1:8" s="24" customFormat="1" x14ac:dyDescent="0.25">
      <c r="A25" s="109" t="s">
        <v>444</v>
      </c>
      <c r="B25" s="60">
        <v>1</v>
      </c>
      <c r="C25" s="60">
        <v>1</v>
      </c>
      <c r="D25" s="60">
        <v>1</v>
      </c>
      <c r="E25" s="60">
        <v>1</v>
      </c>
      <c r="F25" s="60">
        <v>1</v>
      </c>
      <c r="G25" s="60">
        <v>1</v>
      </c>
      <c r="H25" s="60">
        <v>1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3298</v>
      </c>
      <c r="B27" s="61">
        <f>SUM(B28:VALOR_INS_BCC_FIN_01)</f>
        <v>3</v>
      </c>
      <c r="C27" s="61">
        <f>SUM(C28:VALOR_INS_BCC_FIN_02)</f>
        <v>3</v>
      </c>
      <c r="D27" s="61">
        <f>SUM(D28:VALOR_INS_BCC_FIN_03)</f>
        <v>3</v>
      </c>
      <c r="E27" s="61">
        <f>SUM(E28:VALOR_INS_BCC_FIN_04)</f>
        <v>3</v>
      </c>
      <c r="F27" s="61">
        <f>SUM(F28:VALOR_INS_BCC_FIN_05)</f>
        <v>3</v>
      </c>
      <c r="G27" s="61">
        <f>SUM(G28:VALOR_INS_BCC_FIN_06)</f>
        <v>3</v>
      </c>
      <c r="H27" s="61">
        <f>SUM(H28:VALOR_INS_BCC_FIN_07)</f>
        <v>3</v>
      </c>
    </row>
    <row r="28" spans="1:8" s="24" customFormat="1" x14ac:dyDescent="0.25">
      <c r="A28" s="109" t="s">
        <v>445</v>
      </c>
      <c r="B28" s="60">
        <v>1</v>
      </c>
      <c r="C28" s="60">
        <v>1</v>
      </c>
      <c r="D28" s="60">
        <v>1</v>
      </c>
      <c r="E28" s="60">
        <v>1</v>
      </c>
      <c r="F28" s="60">
        <v>1</v>
      </c>
      <c r="G28" s="60">
        <v>1</v>
      </c>
      <c r="H28" s="60">
        <v>1</v>
      </c>
    </row>
    <row r="29" spans="1:8" s="24" customFormat="1" x14ac:dyDescent="0.25">
      <c r="A29" s="109" t="s">
        <v>446</v>
      </c>
      <c r="B29" s="60">
        <v>1</v>
      </c>
      <c r="C29" s="60">
        <v>1</v>
      </c>
      <c r="D29" s="60">
        <v>1</v>
      </c>
      <c r="E29" s="60">
        <v>1</v>
      </c>
      <c r="F29" s="60">
        <v>1</v>
      </c>
      <c r="G29" s="60">
        <v>1</v>
      </c>
      <c r="H29" s="60">
        <v>1</v>
      </c>
    </row>
    <row r="30" spans="1:8" s="24" customFormat="1" x14ac:dyDescent="0.25">
      <c r="A30" s="109" t="s">
        <v>447</v>
      </c>
      <c r="B30" s="60">
        <v>1</v>
      </c>
      <c r="C30" s="60">
        <v>1</v>
      </c>
      <c r="D30" s="60">
        <v>1</v>
      </c>
      <c r="E30" s="60">
        <v>1</v>
      </c>
      <c r="F30" s="60">
        <v>1</v>
      </c>
      <c r="G30" s="60">
        <v>1</v>
      </c>
      <c r="H30" s="60">
        <v>1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71" t="s">
        <v>3301</v>
      </c>
      <c r="B33" s="171"/>
      <c r="C33" s="171"/>
      <c r="D33" s="171"/>
      <c r="E33" s="171"/>
      <c r="F33" s="171"/>
      <c r="G33" s="171"/>
      <c r="H33" s="171"/>
    </row>
    <row r="34" spans="1:8" ht="12" customHeight="1" x14ac:dyDescent="0.25">
      <c r="A34" s="171"/>
      <c r="B34" s="171"/>
      <c r="C34" s="171"/>
      <c r="D34" s="171"/>
      <c r="E34" s="171"/>
      <c r="F34" s="171"/>
      <c r="G34" s="171"/>
      <c r="H34" s="171"/>
    </row>
    <row r="35" spans="1:8" ht="12" customHeight="1" x14ac:dyDescent="0.25">
      <c r="A35" s="171"/>
      <c r="B35" s="171"/>
      <c r="C35" s="171"/>
      <c r="D35" s="171"/>
      <c r="E35" s="171"/>
      <c r="F35" s="171"/>
      <c r="G35" s="171"/>
      <c r="H35" s="171"/>
    </row>
    <row r="36" spans="1:8" ht="12" customHeight="1" x14ac:dyDescent="0.25">
      <c r="A36" s="171"/>
      <c r="B36" s="171"/>
      <c r="C36" s="171"/>
      <c r="D36" s="171"/>
      <c r="E36" s="171"/>
      <c r="F36" s="171"/>
      <c r="G36" s="171"/>
      <c r="H36" s="171"/>
    </row>
    <row r="37" spans="1:8" ht="12" customHeight="1" x14ac:dyDescent="0.25">
      <c r="A37" s="171"/>
      <c r="B37" s="171"/>
      <c r="C37" s="171"/>
      <c r="D37" s="171"/>
      <c r="E37" s="171"/>
      <c r="F37" s="171"/>
      <c r="G37" s="171"/>
      <c r="H37" s="171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6</v>
      </c>
      <c r="Q3" s="18">
        <f>'Formato 2'!C8</f>
        <v>6</v>
      </c>
      <c r="R3" s="18">
        <f>'Formato 2'!D8</f>
        <v>6</v>
      </c>
      <c r="S3" s="18">
        <f>'Formato 2'!E8</f>
        <v>6</v>
      </c>
      <c r="T3" s="18">
        <f>'Formato 2'!F8</f>
        <v>6</v>
      </c>
      <c r="U3" s="18">
        <f>'Formato 2'!G8</f>
        <v>6</v>
      </c>
      <c r="V3" s="18">
        <f>'Formato 2'!H8</f>
        <v>6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3</v>
      </c>
      <c r="Q4" s="18">
        <f>'Formato 2'!C9</f>
        <v>3</v>
      </c>
      <c r="R4" s="18">
        <f>'Formato 2'!D9</f>
        <v>3</v>
      </c>
      <c r="S4" s="18">
        <f>'Formato 2'!E9</f>
        <v>3</v>
      </c>
      <c r="T4" s="18">
        <f>'Formato 2'!F9</f>
        <v>3</v>
      </c>
      <c r="U4" s="18">
        <f>'Formato 2'!G9</f>
        <v>3</v>
      </c>
      <c r="V4" s="18">
        <f>'Formato 2'!H9</f>
        <v>3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1</v>
      </c>
      <c r="Q5" s="18">
        <f>'Formato 2'!C10</f>
        <v>1</v>
      </c>
      <c r="R5" s="18">
        <f>'Formato 2'!D10</f>
        <v>1</v>
      </c>
      <c r="S5" s="18">
        <f>'Formato 2'!E10</f>
        <v>1</v>
      </c>
      <c r="T5" s="18">
        <f>'Formato 2'!F10</f>
        <v>1</v>
      </c>
      <c r="U5" s="18">
        <f>'Formato 2'!G10</f>
        <v>1</v>
      </c>
      <c r="V5" s="18">
        <f>'Formato 2'!H10</f>
        <v>1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1</v>
      </c>
      <c r="Q6" s="18">
        <f>'Formato 2'!C11</f>
        <v>1</v>
      </c>
      <c r="R6" s="18">
        <f>'Formato 2'!D11</f>
        <v>1</v>
      </c>
      <c r="S6" s="18">
        <f>'Formato 2'!E11</f>
        <v>1</v>
      </c>
      <c r="T6" s="18">
        <f>'Formato 2'!F11</f>
        <v>1</v>
      </c>
      <c r="U6" s="18">
        <f>'Formato 2'!G11</f>
        <v>1</v>
      </c>
      <c r="V6" s="18">
        <f>'Formato 2'!H11</f>
        <v>1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1</v>
      </c>
      <c r="Q7" s="18">
        <f>'Formato 2'!C12</f>
        <v>1</v>
      </c>
      <c r="R7" s="18">
        <f>'Formato 2'!D12</f>
        <v>1</v>
      </c>
      <c r="S7" s="18">
        <f>'Formato 2'!E12</f>
        <v>1</v>
      </c>
      <c r="T7" s="18">
        <f>'Formato 2'!F12</f>
        <v>1</v>
      </c>
      <c r="U7" s="18">
        <f>'Formato 2'!G12</f>
        <v>1</v>
      </c>
      <c r="V7" s="18">
        <f>'Formato 2'!H12</f>
        <v>1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3</v>
      </c>
      <c r="Q8" s="18">
        <f>'Formato 2'!C13</f>
        <v>3</v>
      </c>
      <c r="R8" s="18">
        <f>'Formato 2'!D13</f>
        <v>3</v>
      </c>
      <c r="S8" s="18">
        <f>'Formato 2'!E13</f>
        <v>3</v>
      </c>
      <c r="T8" s="18">
        <f>'Formato 2'!F13</f>
        <v>3</v>
      </c>
      <c r="U8" s="18">
        <f>'Formato 2'!G13</f>
        <v>3</v>
      </c>
      <c r="V8" s="18">
        <f>'Formato 2'!H13</f>
        <v>3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1</v>
      </c>
      <c r="Q9" s="18">
        <f>'Formato 2'!C14</f>
        <v>1</v>
      </c>
      <c r="R9" s="18">
        <f>'Formato 2'!D14</f>
        <v>1</v>
      </c>
      <c r="S9" s="18">
        <f>'Formato 2'!E14</f>
        <v>1</v>
      </c>
      <c r="T9" s="18">
        <f>'Formato 2'!F14</f>
        <v>1</v>
      </c>
      <c r="U9" s="18">
        <f>'Formato 2'!G14</f>
        <v>1</v>
      </c>
      <c r="V9" s="18">
        <f>'Formato 2'!H14</f>
        <v>1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1</v>
      </c>
      <c r="Q10" s="18">
        <f>'Formato 2'!C15</f>
        <v>1</v>
      </c>
      <c r="R10" s="18">
        <f>'Formato 2'!D15</f>
        <v>1</v>
      </c>
      <c r="S10" s="18">
        <f>'Formato 2'!E15</f>
        <v>1</v>
      </c>
      <c r="T10" s="18">
        <f>'Formato 2'!F15</f>
        <v>1</v>
      </c>
      <c r="U10" s="18">
        <f>'Formato 2'!G15</f>
        <v>1</v>
      </c>
      <c r="V10" s="18">
        <f>'Formato 2'!H15</f>
        <v>1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1</v>
      </c>
      <c r="Q11" s="18">
        <f>'Formato 2'!C16</f>
        <v>1</v>
      </c>
      <c r="R11" s="18">
        <f>'Formato 2'!D16</f>
        <v>1</v>
      </c>
      <c r="S11" s="18">
        <f>'Formato 2'!E16</f>
        <v>1</v>
      </c>
      <c r="T11" s="18">
        <f>'Formato 2'!F16</f>
        <v>1</v>
      </c>
      <c r="U11" s="18">
        <f>'Formato 2'!G16</f>
        <v>1</v>
      </c>
      <c r="V11" s="18">
        <f>'Formato 2'!H16</f>
        <v>1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</v>
      </c>
      <c r="Q12" s="18"/>
      <c r="R12" s="18"/>
      <c r="S12" s="18"/>
      <c r="T12" s="18">
        <f>'Formato 2'!F18</f>
        <v>1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7</v>
      </c>
      <c r="Q13" s="18">
        <f>'Formato 2'!C20</f>
        <v>6</v>
      </c>
      <c r="R13" s="18">
        <f>'Formato 2'!D20</f>
        <v>6</v>
      </c>
      <c r="S13" s="18">
        <f>'Formato 2'!E20</f>
        <v>6</v>
      </c>
      <c r="T13" s="18">
        <f>'Formato 2'!F20</f>
        <v>7</v>
      </c>
      <c r="U13" s="18">
        <f>'Formato 2'!G20</f>
        <v>6</v>
      </c>
      <c r="V13" s="18">
        <f>'Formato 2'!H20</f>
        <v>6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3</v>
      </c>
      <c r="Q14">
        <f>DEUDA_CONT_T2</f>
        <v>3</v>
      </c>
      <c r="R14">
        <f>DEUDA_CONT_T3</f>
        <v>3</v>
      </c>
      <c r="S14">
        <f>DEUDA_CONT_T4</f>
        <v>3</v>
      </c>
      <c r="T14">
        <f>DEUDA_CONT_T4</f>
        <v>3</v>
      </c>
      <c r="U14">
        <f>DEUDA_CONT_T6</f>
        <v>3</v>
      </c>
      <c r="V14">
        <f>DEUDA_CONT_T7</f>
        <v>3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3</v>
      </c>
      <c r="Q15">
        <f>VALOR_INS_BCC_T2</f>
        <v>3</v>
      </c>
      <c r="R15">
        <f>VALOR_INS_BCC_T3</f>
        <v>3</v>
      </c>
      <c r="S15">
        <f>VALOR_INS_BCC_T4</f>
        <v>3</v>
      </c>
      <c r="T15">
        <f>VALOR_INS_BCC_T5</f>
        <v>3</v>
      </c>
      <c r="U15">
        <f>VALOR_INS_BCC_T6</f>
        <v>3</v>
      </c>
      <c r="V15">
        <f>VALOR_INS_BCC_T7</f>
        <v>3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7" sqref="A7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0" t="s">
        <v>543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11"/>
    </row>
    <row r="2" spans="1:12" ht="14.25" x14ac:dyDescent="0.45">
      <c r="A2" s="158" t="str">
        <f>ENTE_PUBLICO_A</f>
        <v>ORGANISMO, Gobierno del Estado de Guanajuato (a)</v>
      </c>
      <c r="B2" s="159"/>
      <c r="C2" s="159"/>
      <c r="D2" s="159"/>
      <c r="E2" s="159"/>
      <c r="F2" s="159"/>
      <c r="G2" s="159"/>
      <c r="H2" s="159"/>
      <c r="I2" s="159"/>
      <c r="J2" s="159"/>
      <c r="K2" s="160"/>
    </row>
    <row r="3" spans="1:12" x14ac:dyDescent="0.25">
      <c r="A3" s="161" t="s">
        <v>146</v>
      </c>
      <c r="B3" s="162"/>
      <c r="C3" s="162"/>
      <c r="D3" s="162"/>
      <c r="E3" s="162"/>
      <c r="F3" s="162"/>
      <c r="G3" s="162"/>
      <c r="H3" s="162"/>
      <c r="I3" s="162"/>
      <c r="J3" s="162"/>
      <c r="K3" s="163"/>
    </row>
    <row r="4" spans="1:12" ht="14.25" x14ac:dyDescent="0.45">
      <c r="A4" s="164" t="str">
        <f>TRIMESTRE</f>
        <v>Del 1 de enero al 31 de diciembre de 2017 (b)</v>
      </c>
      <c r="B4" s="165"/>
      <c r="C4" s="165"/>
      <c r="D4" s="165"/>
      <c r="E4" s="165"/>
      <c r="F4" s="165"/>
      <c r="G4" s="165"/>
      <c r="H4" s="165"/>
      <c r="I4" s="165"/>
      <c r="J4" s="165"/>
      <c r="K4" s="166"/>
    </row>
    <row r="5" spans="1:12" ht="14.25" x14ac:dyDescent="0.45">
      <c r="A5" s="161" t="s">
        <v>118</v>
      </c>
      <c r="B5" s="162"/>
      <c r="C5" s="162"/>
      <c r="D5" s="162"/>
      <c r="E5" s="162"/>
      <c r="F5" s="162"/>
      <c r="G5" s="162"/>
      <c r="H5" s="162"/>
      <c r="I5" s="162"/>
      <c r="J5" s="162"/>
      <c r="K5" s="163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31 de diciembre de 2017 (k)</v>
      </c>
      <c r="J6" s="130" t="str">
        <f>MONTO2</f>
        <v>Monto pagado de la inversión actualizado al 31 de diciembre de 2017 (l)</v>
      </c>
      <c r="K6" s="130" t="str">
        <f>SALDO_PENDIENTE</f>
        <v>Saldo pendiente por pagar de la inversión al 31 de diciembre de 2017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8"/>
      <c r="C8" s="128"/>
      <c r="D8" s="128"/>
      <c r="E8" s="61">
        <f>SUM(E9:APP_FIN_04)</f>
        <v>4</v>
      </c>
      <c r="F8" s="128"/>
      <c r="G8" s="61">
        <f>SUM(G9:APP_FIN_06)</f>
        <v>4</v>
      </c>
      <c r="H8" s="61">
        <f>SUM(H9:APP_FIN_07)</f>
        <v>4</v>
      </c>
      <c r="I8" s="61">
        <f>SUM(I9:APP_FIN_08)</f>
        <v>4</v>
      </c>
      <c r="J8" s="61">
        <f>SUM(J9:APP_FIN_09)</f>
        <v>4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>
        <v>42755</v>
      </c>
      <c r="C9" s="112">
        <v>42755</v>
      </c>
      <c r="D9" s="112">
        <v>42755</v>
      </c>
      <c r="E9" s="60">
        <v>1</v>
      </c>
      <c r="F9" s="60">
        <v>80</v>
      </c>
      <c r="G9" s="60">
        <v>1</v>
      </c>
      <c r="H9" s="60">
        <v>1</v>
      </c>
      <c r="I9" s="60">
        <v>1</v>
      </c>
      <c r="J9" s="60">
        <v>1</v>
      </c>
      <c r="K9" s="60">
        <f>E9-J9</f>
        <v>0</v>
      </c>
    </row>
    <row r="10" spans="1:12" s="24" customFormat="1" ht="14.25" x14ac:dyDescent="0.45">
      <c r="A10" s="114" t="s">
        <v>157</v>
      </c>
      <c r="B10" s="112">
        <v>42755</v>
      </c>
      <c r="C10" s="112">
        <v>42755</v>
      </c>
      <c r="D10" s="112">
        <v>42755</v>
      </c>
      <c r="E10" s="60">
        <v>1</v>
      </c>
      <c r="F10" s="60">
        <v>70</v>
      </c>
      <c r="G10" s="60">
        <v>1</v>
      </c>
      <c r="H10" s="60">
        <v>1</v>
      </c>
      <c r="I10" s="60">
        <v>1</v>
      </c>
      <c r="J10" s="60">
        <v>1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>
        <v>42755</v>
      </c>
      <c r="C11" s="112">
        <v>42755</v>
      </c>
      <c r="D11" s="112">
        <v>42755</v>
      </c>
      <c r="E11" s="60">
        <v>1</v>
      </c>
      <c r="F11" s="60">
        <v>60</v>
      </c>
      <c r="G11" s="60">
        <v>1</v>
      </c>
      <c r="H11" s="60">
        <v>1</v>
      </c>
      <c r="I11" s="60">
        <v>1</v>
      </c>
      <c r="J11" s="60">
        <v>1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>
        <v>42755</v>
      </c>
      <c r="C12" s="112">
        <v>42755</v>
      </c>
      <c r="D12" s="112">
        <v>42755</v>
      </c>
      <c r="E12" s="60">
        <v>1</v>
      </c>
      <c r="F12" s="60">
        <v>50</v>
      </c>
      <c r="G12" s="60">
        <v>1</v>
      </c>
      <c r="H12" s="60">
        <v>1</v>
      </c>
      <c r="I12" s="60">
        <v>1</v>
      </c>
      <c r="J12" s="60">
        <v>1</v>
      </c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8"/>
      <c r="C14" s="128"/>
      <c r="D14" s="128"/>
      <c r="E14" s="61">
        <f>SUM(E15:OTROS_FIN_04)</f>
        <v>4</v>
      </c>
      <c r="F14" s="128"/>
      <c r="G14" s="61">
        <f>SUM(G15:OTROS_FIN_06)</f>
        <v>4</v>
      </c>
      <c r="H14" s="61">
        <f>SUM(H15:OTROS_FIN_07)</f>
        <v>4</v>
      </c>
      <c r="I14" s="61">
        <f>SUM(I15:OTROS_FIN_08)</f>
        <v>4</v>
      </c>
      <c r="J14" s="61">
        <f>SUM(J15:OTROS_FIN_09)</f>
        <v>4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>
        <v>42755</v>
      </c>
      <c r="C15" s="112">
        <v>42755</v>
      </c>
      <c r="D15" s="112">
        <v>42755</v>
      </c>
      <c r="E15" s="60">
        <v>1</v>
      </c>
      <c r="F15" s="60">
        <v>40</v>
      </c>
      <c r="G15" s="60">
        <v>1</v>
      </c>
      <c r="H15" s="60">
        <v>1</v>
      </c>
      <c r="I15" s="60">
        <v>1</v>
      </c>
      <c r="J15" s="60">
        <v>1</v>
      </c>
      <c r="K15" s="60">
        <f>E15-J15</f>
        <v>0</v>
      </c>
    </row>
    <row r="16" spans="1:12" s="24" customFormat="1" ht="14.25" x14ac:dyDescent="0.45">
      <c r="A16" s="114" t="s">
        <v>162</v>
      </c>
      <c r="B16" s="112">
        <v>42755</v>
      </c>
      <c r="C16" s="112">
        <v>42755</v>
      </c>
      <c r="D16" s="112">
        <v>42755</v>
      </c>
      <c r="E16" s="60">
        <v>1</v>
      </c>
      <c r="F16" s="60">
        <v>30</v>
      </c>
      <c r="G16" s="60">
        <v>1</v>
      </c>
      <c r="H16" s="60">
        <v>1</v>
      </c>
      <c r="I16" s="60">
        <v>1</v>
      </c>
      <c r="J16" s="60">
        <v>1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>
        <v>42755</v>
      </c>
      <c r="C17" s="112">
        <v>42755</v>
      </c>
      <c r="D17" s="112">
        <v>42755</v>
      </c>
      <c r="E17" s="60">
        <v>1</v>
      </c>
      <c r="F17" s="60">
        <v>20</v>
      </c>
      <c r="G17" s="60">
        <v>1</v>
      </c>
      <c r="H17" s="60">
        <v>1</v>
      </c>
      <c r="I17" s="60">
        <v>1</v>
      </c>
      <c r="J17" s="60">
        <v>1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>
        <v>42755</v>
      </c>
      <c r="C18" s="112">
        <v>42755</v>
      </c>
      <c r="D18" s="112">
        <v>42755</v>
      </c>
      <c r="E18" s="60">
        <v>1</v>
      </c>
      <c r="F18" s="60">
        <v>10</v>
      </c>
      <c r="G18" s="60">
        <v>1</v>
      </c>
      <c r="H18" s="60">
        <v>1</v>
      </c>
      <c r="I18" s="60">
        <v>1</v>
      </c>
      <c r="J18" s="60">
        <v>1</v>
      </c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8"/>
      <c r="C20" s="128"/>
      <c r="D20" s="128"/>
      <c r="E20" s="61">
        <f>APP_T4+OTROS_T4</f>
        <v>8</v>
      </c>
      <c r="F20" s="128"/>
      <c r="G20" s="61">
        <f>APP_T6+OTROS_T6</f>
        <v>8</v>
      </c>
      <c r="H20" s="61">
        <f>APP_T7+OTROS_T7</f>
        <v>8</v>
      </c>
      <c r="I20" s="61">
        <f>APP_T8+OTROS_T8</f>
        <v>8</v>
      </c>
      <c r="J20" s="61">
        <f>APP_T9+OTROS_T9</f>
        <v>8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4</v>
      </c>
      <c r="T3" s="18"/>
      <c r="U3" s="18">
        <f>APP_T6</f>
        <v>4</v>
      </c>
      <c r="V3" s="18">
        <f>APP_T7</f>
        <v>4</v>
      </c>
      <c r="W3">
        <f>APP_T8</f>
        <v>4</v>
      </c>
      <c r="X3">
        <f>APP_T9</f>
        <v>4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4</v>
      </c>
      <c r="T4" s="18"/>
      <c r="U4" s="18">
        <f>OTROS_T6</f>
        <v>4</v>
      </c>
      <c r="V4" s="18">
        <f>OTROS_T7</f>
        <v>4</v>
      </c>
      <c r="W4">
        <f>OTROS_T8</f>
        <v>4</v>
      </c>
      <c r="X4">
        <f>OTROS_T9</f>
        <v>4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8</v>
      </c>
      <c r="T5" s="18"/>
      <c r="U5" s="18">
        <f>TOTAL_ODF_T6</f>
        <v>8</v>
      </c>
      <c r="V5" s="18">
        <f>TOTAL_ODF_T7</f>
        <v>8</v>
      </c>
      <c r="W5" s="18">
        <f>TOTAL_ODF_T8</f>
        <v>8</v>
      </c>
      <c r="X5" s="18">
        <f>TOTAL_ODF_T9</f>
        <v>8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tesoreria</cp:lastModifiedBy>
  <cp:lastPrinted>2017-02-04T00:56:20Z</cp:lastPrinted>
  <dcterms:created xsi:type="dcterms:W3CDTF">2017-01-19T17:59:06Z</dcterms:created>
  <dcterms:modified xsi:type="dcterms:W3CDTF">2018-02-28T19:04:44Z</dcterms:modified>
</cp:coreProperties>
</file>